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6955" activeTab="4"/>
  </bookViews>
  <sheets>
    <sheet name="WL" sheetId="1" r:id="rId1"/>
    <sheet name="WLS" sheetId="2" r:id="rId2"/>
    <sheet name="WLKP" sheetId="3" r:id="rId3"/>
    <sheet name="WFzOAM" sheetId="4" r:id="rId4"/>
    <sheet name="WNoZ" sheetId="5" r:id="rId5"/>
  </sheets>
  <definedNames/>
  <calcPr fullCalcOnLoad="1"/>
</workbook>
</file>

<file path=xl/sharedStrings.xml><?xml version="1.0" encoding="utf-8"?>
<sst xmlns="http://schemas.openxmlformats.org/spreadsheetml/2006/main" count="280" uniqueCount="194">
  <si>
    <t>L.p.</t>
  </si>
  <si>
    <t>Publikacje 2017</t>
  </si>
  <si>
    <t>Publikacje 2016</t>
  </si>
  <si>
    <t>Rozw.kadry naukowej 2016</t>
  </si>
  <si>
    <t>Rozw.kadry naukowej 2017</t>
  </si>
  <si>
    <t>Patenty 2016</t>
  </si>
  <si>
    <t>Patenty 2017</t>
  </si>
  <si>
    <t>Komercjalizacja 2016</t>
  </si>
  <si>
    <t>Komercjalizacja 2017</t>
  </si>
  <si>
    <t>Projekty 2016</t>
  </si>
  <si>
    <t>Projekty 2017</t>
  </si>
  <si>
    <t>Punkty ujemne-publikacje_2016-2017</t>
  </si>
  <si>
    <t>Wartość IF_2016</t>
  </si>
  <si>
    <t>Wartość IF_2017</t>
  </si>
  <si>
    <t>Pracownicy Złożone oświadczenia do zaliczenia do liczby N w 2016r</t>
  </si>
  <si>
    <t>Pracownicy Złożone oświadczenia do zaliczenia do liczby N w 2017r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</si>
  <si>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</si>
  <si>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</si>
  <si>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</si>
  <si>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</si>
  <si>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</si>
  <si>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</si>
  <si>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</si>
  <si>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</si>
  <si>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</si>
  <si>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</si>
  <si>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</si>
  <si>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</si>
  <si>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Medycznego)</t>
  </si>
  <si>
    <t>Katedra Medycyny Sądowej – Zakład Technik Molekularnych</t>
  </si>
  <si>
    <t>Katedra i Zakład Mikrobiologii</t>
  </si>
  <si>
    <t>Katedra Patofizjologii</t>
  </si>
  <si>
    <t>Katedra i Zakład Genetyki</t>
  </si>
  <si>
    <t>Zakład Humanistycznych Nauk Lekarskich</t>
  </si>
  <si>
    <t>Katedra Anestezjologii i Intensywnej Terapii</t>
  </si>
  <si>
    <t>Katedra i Klinika Medycyny Ratunkowej</t>
  </si>
  <si>
    <t>Zakład Traumatologii i Medycyny Ratunkowej Wieku Rozwojowego</t>
  </si>
  <si>
    <t>I Katedra i Klinika Chirurgii Ogólnej, Gastroenterologicznej i Endokrynologicznej</t>
  </si>
  <si>
    <t>II Katedra i Klinika Chirurgii Ogólnej i Chirurgii Onkologicznej</t>
  </si>
  <si>
    <t>I Katedra i Klinika Pediatrii, Alergologii i Kardiologii</t>
  </si>
  <si>
    <t>II Katedra i Klinika Pediatrii, Gastroenterologii i Żywienia</t>
  </si>
  <si>
    <t>III Katedra i Klinika Pediatrii, Immunologii i Reumatologii Wieku Rozwojowego</t>
  </si>
  <si>
    <t>I Katedra i Klinika Ginekologii i Położnictwa</t>
  </si>
  <si>
    <t>II Katedra i Klinika Ginekologii i Położnictwa</t>
  </si>
  <si>
    <t>Katedra i Klinika Chorób Wewnętrznych i Alergologii</t>
  </si>
  <si>
    <t>Katedra i Klinika Geriatrii</t>
  </si>
  <si>
    <t>Katedra i Klinika Chorób Wewnętrznych, Zawodowych, Nadciśnienia Tętniczego i Onkologii Klinicznej</t>
  </si>
  <si>
    <t>Katedra i Klinika Reumatologii i Chorób Wewnętrznych</t>
  </si>
  <si>
    <t>Katedra Pedagogiki</t>
  </si>
  <si>
    <t>Katedra i Klinika Neonatologii</t>
  </si>
  <si>
    <t>Zakład Symulacji Medycznej (od 26.06.2017)</t>
  </si>
  <si>
    <t>–</t>
  </si>
  <si>
    <t>18,455 + 25,622*</t>
  </si>
  <si>
    <t>Punktacja</t>
  </si>
  <si>
    <t>Średnia na Wydziale na 1 pracownika - 29,58</t>
  </si>
  <si>
    <t>Nazwa jednostki</t>
  </si>
  <si>
    <t>1.</t>
  </si>
  <si>
    <t>Katedra Stomatologii Zachowawczej i Dziecięcej</t>
  </si>
  <si>
    <t>2.</t>
  </si>
  <si>
    <t>3.</t>
  </si>
  <si>
    <t>Katedra i Zakład Chirurgii Stomatologicznej</t>
  </si>
  <si>
    <t>4.</t>
  </si>
  <si>
    <t>Katedra Protetyki Stomatologicznej</t>
  </si>
  <si>
    <t>5.</t>
  </si>
  <si>
    <t>Katedra Ortopedii Szczękowej i Ortodoncji</t>
  </si>
  <si>
    <t>6.</t>
  </si>
  <si>
    <t>Zakład Chirurgii Eksperymentalnej i Badania Biomateriałów</t>
  </si>
  <si>
    <t>7.</t>
  </si>
  <si>
    <t>Katedra i Zakład Periodontologii</t>
  </si>
  <si>
    <t>8.</t>
  </si>
  <si>
    <t>Katedra i Klinika Chirurgii Szczękowo-Twarzowej</t>
  </si>
  <si>
    <t>9.</t>
  </si>
  <si>
    <t>Zakład Chorób Zakaźnych i Hepatologii</t>
  </si>
  <si>
    <t>10.</t>
  </si>
  <si>
    <t>Zakład Anatomii Stomatologicznej</t>
  </si>
  <si>
    <t>11.</t>
  </si>
  <si>
    <t>Zakład Otolaryngologii WLS</t>
  </si>
  <si>
    <t>Klinika Chirurgii Plastycznej</t>
  </si>
  <si>
    <t>13.</t>
  </si>
  <si>
    <t>14.</t>
  </si>
  <si>
    <t>Katedra i Zakład Patologii Jamy Ustnej (od 6.04.2017)</t>
  </si>
  <si>
    <t>15.</t>
  </si>
  <si>
    <t>Katedra i Zakład Stomatologii Doświadczalnej (od 19.05.2017)</t>
  </si>
  <si>
    <t>Średnia na Wydziale na 1 pracownika - 28,06</t>
  </si>
  <si>
    <t>Rozwój kadry naukowej 2016</t>
  </si>
  <si>
    <t>Rozwój kadry naukowej 2017</t>
  </si>
  <si>
    <t>Punkty ujemne-publikacje 2016-2017</t>
  </si>
  <si>
    <t>Pracownicy złożone oświadczenia do zaliczenia do liczby N w 2016r</t>
  </si>
  <si>
    <t>Pracownicy złożone oświadczenia do zaliczenia do liczby N w 2017r</t>
  </si>
  <si>
    <t>Katedra i Klinika Dermatologii, Wenerologii i Alergologii</t>
  </si>
  <si>
    <t>Katedra Psychiatrii</t>
  </si>
  <si>
    <t>Katedra i Klinika Hematologii, Nowotworów Krwi i Transplantacji Szpiku</t>
  </si>
  <si>
    <t>148,192 + 72,406*</t>
  </si>
  <si>
    <t>Katedra i Klinika Nefrologii i Medycyny Transplantacyjnej</t>
  </si>
  <si>
    <t>27,224 + 2,289*</t>
  </si>
  <si>
    <t>Katedra i Klinika Transplantacji Szpiku, Onkologii i Hematologii Dziecięcej</t>
  </si>
  <si>
    <t>Katedra i Klinika Endokrynologii, Diabetologii i Leczenia Izotopami</t>
  </si>
  <si>
    <t>33,472 + 50,542*</t>
  </si>
  <si>
    <t>47,394 + 2,481*</t>
  </si>
  <si>
    <t>Katedra Radiologii</t>
  </si>
  <si>
    <t>Katedra i Klinika Kardiologii</t>
  </si>
  <si>
    <t>84,500 + 123,183*</t>
  </si>
  <si>
    <t>Katedra i Zakład Medycyny Rodzinnej</t>
  </si>
  <si>
    <t>Katedra i Klinika Okulistyki</t>
  </si>
  <si>
    <t xml:space="preserve">Katedra Onkologii </t>
  </si>
  <si>
    <t>25,332 + 3,434*</t>
  </si>
  <si>
    <t>12.</t>
  </si>
  <si>
    <t>Katedra Gastroenterologii i Hepatologii</t>
  </si>
  <si>
    <t>Katedra i Klinika Otolaryngologii, Chirurgii Głowy i Szyi</t>
  </si>
  <si>
    <t>Katedra i Klinika Chirurgii Przewodu Pokarmowego i Chirurgii Ogólnej</t>
  </si>
  <si>
    <t>20,046 + 5,019*</t>
  </si>
  <si>
    <t>Katedra i Klinika Pediatrii i Chorób Infekcyjnych</t>
  </si>
  <si>
    <t>17.</t>
  </si>
  <si>
    <t>Katedra i Klinika Urologii i Onkologii Urologicznej</t>
  </si>
  <si>
    <t>18.</t>
  </si>
  <si>
    <t>Katedra Neurologii</t>
  </si>
  <si>
    <t>19.</t>
  </si>
  <si>
    <t>Katedra i Zakład Medycyny Społecznej</t>
  </si>
  <si>
    <t>48,448 + 49,313*</t>
  </si>
  <si>
    <t>118,139 + 47,831*</t>
  </si>
  <si>
    <t>20.</t>
  </si>
  <si>
    <t>Katedra i Klinika Nefrologii Pediatrycznej</t>
  </si>
  <si>
    <t>21.</t>
  </si>
  <si>
    <t>Katedra Chirurgii Naczyniowej, Ogólnej i Transplantacyjnej</t>
  </si>
  <si>
    <t>22.</t>
  </si>
  <si>
    <t>Katedra Chirurgii Urazowej</t>
  </si>
  <si>
    <t>23.</t>
  </si>
  <si>
    <t>Katedra i Klinika Chirurgii Serca</t>
  </si>
  <si>
    <t>10,474 + 4,470*</t>
  </si>
  <si>
    <t>24.</t>
  </si>
  <si>
    <t>Katedra i Klinika Pulmonologii i Nowotworów Płuc</t>
  </si>
  <si>
    <t>Katedra i Klinika Endokrynologii i Diabetologii Wieku Rozwojowego</t>
  </si>
  <si>
    <t>Katedra i Klinika Angiologii, Nadciśnienia Tętniczego i Diabetologii</t>
  </si>
  <si>
    <t>Katedra i Klinika Chirurgii i Urologii Dziecięcej</t>
  </si>
  <si>
    <t>Katedra Ortopedii i Traumatologii Narządu Ruchu</t>
  </si>
  <si>
    <t>Katedra Neurochirurgii</t>
  </si>
  <si>
    <t>Katedra i Zakład Rehabilitacji</t>
  </si>
  <si>
    <t>Katedra i Klinika Chirurgii Klatki Piersiowej</t>
  </si>
  <si>
    <t xml:space="preserve">( wkład pracy ogranicza się tylko </t>
  </si>
  <si>
    <t>Średnia na Wydziale na 1 pracownika - 38,13</t>
  </si>
  <si>
    <t xml:space="preserve">Punktacja </t>
  </si>
  <si>
    <t>Katedra i Zakład Chemii Analitycznej</t>
  </si>
  <si>
    <t>Katedra i Zakład Biomedycznych Analiz Środowiskowych</t>
  </si>
  <si>
    <t>Katedra i Zakład Technologii Postaci Leku</t>
  </si>
  <si>
    <t>Katedra i Zakład Chemii Nieorganicznej</t>
  </si>
  <si>
    <t>Katedra i Zakład Farmakognozji</t>
  </si>
  <si>
    <t>Zakład Mikrobiologii Farmaceutycznej i Parazytologii</t>
  </si>
  <si>
    <t>Katedra i Zakład Podstaw Nauk Medycznych</t>
  </si>
  <si>
    <t>Katedra i Zakład Chemii Leków</t>
  </si>
  <si>
    <t>Katedra i Zakład Toksykologii</t>
  </si>
  <si>
    <t>Katedra i Zakład Chemii Fizycznej</t>
  </si>
  <si>
    <t>Katedra Analityki Medycznej</t>
  </si>
  <si>
    <t>Katedra Biologii i Botaniki Farmaceutycznej</t>
  </si>
  <si>
    <t>Katedra i Zakład Bromatologii i Dietetyki</t>
  </si>
  <si>
    <t>Pracownia Analizy Elementarnej i Badań Strukturalnych</t>
  </si>
  <si>
    <t>Pracownia Przesiewowych Testów Aktywności Biologicznej i Gromadzenia Materiału Biologicznego</t>
  </si>
  <si>
    <t>16.</t>
  </si>
  <si>
    <t>Katedra i Zakład Farmakologii Klinicznej</t>
  </si>
  <si>
    <t>Katedra i Zakład Biochemii Farmaceutycznej</t>
  </si>
  <si>
    <t>Katedra i Zakład Chemii Organicznej</t>
  </si>
  <si>
    <t>Zakład Farmacji Przemysłowej</t>
  </si>
  <si>
    <t>Zakład Praktycznej Nauki Zawodu Analityka</t>
  </si>
  <si>
    <t>Katedra i Zakład Technologii Leków</t>
  </si>
  <si>
    <t>Diagnostyczne Laboratorium Naukowo-Dydaktyczne</t>
  </si>
  <si>
    <t>Zakład Humanistycznych Nauk WF</t>
  </si>
  <si>
    <t>Muzeum Farmacji</t>
  </si>
  <si>
    <t>Średnia na Wydziale na 1 pracownika -25,26</t>
  </si>
  <si>
    <t>Katedra Chorób Serca</t>
  </si>
  <si>
    <t>Katedra Pielęgniarstwa Klinicznego</t>
  </si>
  <si>
    <t>Zakład Ratownictwa Medycznego</t>
  </si>
  <si>
    <t xml:space="preserve">Katedra Fizjoterapii                                                                         </t>
  </si>
  <si>
    <t>Katedra Zdrowia Publicznego</t>
  </si>
  <si>
    <t>Katedra Pediatrii</t>
  </si>
  <si>
    <t>Zakład Angiologii</t>
  </si>
  <si>
    <t>Zakład Dietetyki</t>
  </si>
  <si>
    <t>Katedra Ginekologii i Położnictwa</t>
  </si>
  <si>
    <t>Zakład Nauk Podstawowych</t>
  </si>
  <si>
    <t>Średnia na Wydziale na 1 pracownika - 47,69</t>
  </si>
  <si>
    <t>Punkty na pracownika</t>
  </si>
  <si>
    <t>Wartość Impact Factor</t>
  </si>
  <si>
    <t>Klinika Chirurgii Małoinwazyjnej i Proktologicznej</t>
  </si>
  <si>
    <t>73,728 + 15,206*</t>
  </si>
  <si>
    <r>
      <t xml:space="preserve">   * prace „kontrybutorskie”</t>
    </r>
    <r>
      <rPr>
        <sz val="11"/>
        <rFont val="Calibri"/>
        <family val="2"/>
      </rPr>
      <t xml:space="preserve"> </t>
    </r>
  </si>
  <si>
    <t>Pracownicy - złożone oświadczenia do zaliczenia do liczby N w 2016 i 2017r</t>
  </si>
  <si>
    <t>Pracownicy - złożone oświadczenia do zaliczenia do liczby N w 2016r i 2017r</t>
  </si>
  <si>
    <t>Pracownicy-  złożone oświadczenia do zaliczenia do liczby N w 2016r i 2017r</t>
  </si>
  <si>
    <t xml:space="preserve">WYDZIAŁ LEKARSKI - Punktacja działalności naukowej jednostek za 2016 i 2017 rok - ranking wg całkowitej liczby punktów </t>
  </si>
  <si>
    <t xml:space="preserve">WYDZIAŁ LEKARSKO-STOMATOLOGICZNY - Punktacja działalności naukowej jednostek za 2016 i 2017 rok - ranking wg całkowitej liczby punktów </t>
  </si>
  <si>
    <t xml:space="preserve">WYDZIAŁ LEKARSKI KSZTAŁCENIA PODYPLOMOWEGO - Punktacja działalności naukowej jednostek za 2016 i 2017 rok - ranking wg całkowitej liczby punktów </t>
  </si>
  <si>
    <t xml:space="preserve">WYDZIAŁ FARMACEUTYCZNY Z ODDZIAŁEM ANALITYKI MEDYCZNEJ - Punktacja działalności naukowej jednostek za 2016 i 2017 rok - ranking wg całkowitej liczby punktów </t>
  </si>
  <si>
    <t xml:space="preserve">WYDZIAŁ NAUK O ZDROWIU  - Punktacja działalności naukowej jednostek za 2016 i 2017 rok - ranking wg całkowitej liczby punktów </t>
  </si>
  <si>
    <t>Katedra Patomorfologii i Cytologii Onkologicznej - Zakład Patomorfologii i Cytologii Onkologicznej</t>
  </si>
  <si>
    <t>Katedra Patomorfologii i Cytologii Onkologicznej - Zakład Immunopatologii i Biologii Molekularnej</t>
  </si>
  <si>
    <t>Katedra i Klinika Chorób Zakaźnych, Chorób Wątroby i Nabytych Niedoborów Odpornościowych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</si>
</sst>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ddd\,\ d\ mmmm\ yyyy"/>
    <numFmt numFmtId="178" formatCode="#,##0.00\ _z_ł"/>
    <numFmt numFmtId="179" formatCode="#,##0\ _z_ł"/>
    <numFmt numFmtId="180" formatCode="#,##0.0\ _z_ł"/>
  </numFmts>
  <fonts count="42">
    <font>
      <sz val="10"/>
      <name val="Arial CE"/>
      <family val="0"/>
    </font>
    <font>
      <b/>
      <sz val="10"/>
      <name val="Arial CE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0" fillId="0" borderId="0" xfId="0" applyFont="1" applyAlignment="1">
      <alignment/>
    </xf>
    <xf numFmtId="0" fontId="2" fillId="0" borderId="15" xfId="0" applyFont="1" applyFill="1" applyBorder="1" applyAlignment="1">
      <alignment vertical="center" wrapText="1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176" fontId="2" fillId="34" borderId="15" xfId="0" applyNumberFormat="1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vertical="center" wrapText="1"/>
    </xf>
    <xf numFmtId="176" fontId="2" fillId="34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78" fontId="2" fillId="0" borderId="15" xfId="0" applyNumberFormat="1" applyFont="1" applyBorder="1" applyAlignment="1">
      <alignment vertical="center"/>
    </xf>
    <xf numFmtId="178" fontId="2" fillId="35" borderId="18" xfId="0" applyNumberFormat="1" applyFont="1" applyFill="1" applyBorder="1" applyAlignment="1">
      <alignment horizontal="right" vertical="center"/>
    </xf>
    <xf numFmtId="178" fontId="2" fillId="35" borderId="15" xfId="0" applyNumberFormat="1" applyFont="1" applyFill="1" applyBorder="1" applyAlignment="1">
      <alignment horizontal="right" vertical="center"/>
    </xf>
    <xf numFmtId="178" fontId="2" fillId="35" borderId="19" xfId="0" applyNumberFormat="1" applyFont="1" applyFill="1" applyBorder="1" applyAlignment="1">
      <alignment horizontal="right" vertical="center" wrapText="1"/>
    </xf>
    <xf numFmtId="178" fontId="2" fillId="35" borderId="18" xfId="0" applyNumberFormat="1" applyFont="1" applyFill="1" applyBorder="1" applyAlignment="1">
      <alignment horizontal="right" vertical="center" wrapText="1"/>
    </xf>
    <xf numFmtId="178" fontId="2" fillId="35" borderId="20" xfId="0" applyNumberFormat="1" applyFont="1" applyFill="1" applyBorder="1" applyAlignment="1">
      <alignment horizontal="right" vertical="center"/>
    </xf>
    <xf numFmtId="178" fontId="2" fillId="35" borderId="21" xfId="0" applyNumberFormat="1" applyFont="1" applyFill="1" applyBorder="1" applyAlignment="1">
      <alignment horizontal="right" vertical="center"/>
    </xf>
    <xf numFmtId="178" fontId="2" fillId="35" borderId="22" xfId="0" applyNumberFormat="1" applyFont="1" applyFill="1" applyBorder="1" applyAlignment="1">
      <alignment horizontal="right" vertical="center" wrapText="1"/>
    </xf>
    <xf numFmtId="178" fontId="2" fillId="35" borderId="20" xfId="0" applyNumberFormat="1" applyFont="1" applyFill="1" applyBorder="1" applyAlignment="1">
      <alignment horizontal="right" vertical="center" wrapText="1"/>
    </xf>
    <xf numFmtId="178" fontId="20" fillId="36" borderId="15" xfId="0" applyNumberFormat="1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center" indent="15"/>
    </xf>
    <xf numFmtId="0" fontId="22" fillId="0" borderId="0" xfId="0" applyFont="1" applyAlignment="1">
      <alignment horizontal="left" vertical="center" indent="15"/>
    </xf>
    <xf numFmtId="0" fontId="21" fillId="11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8" fontId="2" fillId="35" borderId="15" xfId="0" applyNumberFormat="1" applyFont="1" applyFill="1" applyBorder="1" applyAlignment="1">
      <alignment horizontal="right" vertical="center" wrapText="1"/>
    </xf>
    <xf numFmtId="178" fontId="2" fillId="35" borderId="15" xfId="0" applyNumberFormat="1" applyFont="1" applyFill="1" applyBorder="1" applyAlignment="1">
      <alignment horizontal="right"/>
    </xf>
    <xf numFmtId="178" fontId="20" fillId="36" borderId="15" xfId="0" applyNumberFormat="1" applyFont="1" applyFill="1" applyBorder="1" applyAlignment="1">
      <alignment horizontal="right" vertical="center" indent="15"/>
    </xf>
    <xf numFmtId="178" fontId="22" fillId="0" borderId="15" xfId="0" applyNumberFormat="1" applyFont="1" applyBorder="1" applyAlignment="1">
      <alignment horizontal="right" vertical="center" indent="15"/>
    </xf>
    <xf numFmtId="178" fontId="2" fillId="0" borderId="15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justify" vertical="center" wrapText="1"/>
    </xf>
    <xf numFmtId="0" fontId="2" fillId="37" borderId="15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right" vertical="center" wrapText="1"/>
    </xf>
    <xf numFmtId="0" fontId="2" fillId="38" borderId="15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41" fillId="11" borderId="24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wrapText="1"/>
    </xf>
    <xf numFmtId="0" fontId="41" fillId="11" borderId="10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wrapText="1"/>
    </xf>
    <xf numFmtId="178" fontId="20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 vertical="top"/>
    </xf>
    <xf numFmtId="178" fontId="2" fillId="37" borderId="15" xfId="0" applyNumberFormat="1" applyFont="1" applyFill="1" applyBorder="1" applyAlignment="1">
      <alignment horizontal="right" vertical="center" wrapText="1"/>
    </xf>
    <xf numFmtId="178" fontId="2" fillId="0" borderId="15" xfId="0" applyNumberFormat="1" applyFont="1" applyFill="1" applyBorder="1" applyAlignment="1">
      <alignment horizontal="right" vertical="center" wrapText="1"/>
    </xf>
    <xf numFmtId="178" fontId="2" fillId="38" borderId="15" xfId="0" applyNumberFormat="1" applyFont="1" applyFill="1" applyBorder="1" applyAlignment="1">
      <alignment horizontal="right" vertical="center" wrapText="1"/>
    </xf>
    <xf numFmtId="178" fontId="2" fillId="0" borderId="15" xfId="0" applyNumberFormat="1" applyFont="1" applyBorder="1" applyAlignment="1">
      <alignment horizontal="right" vertical="center"/>
    </xf>
    <xf numFmtId="178" fontId="20" fillId="39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 vertical="top"/>
    </xf>
    <xf numFmtId="178" fontId="2" fillId="0" borderId="15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 wrapText="1"/>
    </xf>
    <xf numFmtId="178" fontId="2" fillId="0" borderId="18" xfId="0" applyNumberFormat="1" applyFont="1" applyFill="1" applyBorder="1" applyAlignment="1">
      <alignment horizontal="right" vertical="center" wrapText="1"/>
    </xf>
    <xf numFmtId="178" fontId="2" fillId="0" borderId="26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 wrapText="1"/>
    </xf>
    <xf numFmtId="0" fontId="20" fillId="17" borderId="27" xfId="0" applyFont="1" applyFill="1" applyBorder="1" applyAlignment="1">
      <alignment horizontal="center" vertical="center" wrapText="1"/>
    </xf>
    <xf numFmtId="0" fontId="20" fillId="17" borderId="28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20" fillId="11" borderId="3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zoomScalePageLayoutView="0" workbookViewId="0" topLeftCell="A1">
      <selection activeCell="B3" sqref="B3:U3"/>
    </sheetView>
  </sheetViews>
  <sheetFormatPr defaultColWidth="9.00390625" defaultRowHeight="12.75"/>
  <cols>
    <col min="1" max="1" width="5.375" style="0" customWidth="1"/>
    <col min="2" max="2" width="54.75390625" style="0" customWidth="1"/>
    <col min="3" max="3" width="12.00390625" style="0" hidden="1" customWidth="1"/>
    <col min="4" max="4" width="10.625" style="0" hidden="1" customWidth="1"/>
    <col min="5" max="5" width="12.00390625" style="0" hidden="1" customWidth="1"/>
    <col min="6" max="6" width="12.75390625" style="0" hidden="1" customWidth="1"/>
    <col min="7" max="7" width="10.625" style="0" hidden="1" customWidth="1"/>
    <col min="8" max="8" width="10.875" style="0" hidden="1" customWidth="1"/>
    <col min="9" max="9" width="12.625" style="0" hidden="1" customWidth="1"/>
    <col min="10" max="10" width="12.125" style="0" hidden="1" customWidth="1"/>
    <col min="11" max="11" width="11.00390625" style="0" hidden="1" customWidth="1"/>
    <col min="12" max="12" width="12.125" style="0" hidden="1" customWidth="1"/>
    <col min="13" max="13" width="11.75390625" style="0" hidden="1" customWidth="1"/>
    <col min="14" max="14" width="13.00390625" style="0" customWidth="1"/>
    <col min="15" max="16" width="13.00390625" style="0" hidden="1" customWidth="1"/>
    <col min="17" max="17" width="13.375" style="0" customWidth="1"/>
    <col min="18" max="18" width="12.25390625" style="0" hidden="1" customWidth="1"/>
    <col min="19" max="19" width="11.875" style="0" hidden="1" customWidth="1"/>
    <col min="20" max="20" width="13.00390625" style="0" customWidth="1"/>
    <col min="21" max="21" width="16.875" style="0" customWidth="1"/>
  </cols>
  <sheetData>
    <row r="2" spans="1:21" ht="27.75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85.5">
      <c r="A3" s="7" t="s">
        <v>0</v>
      </c>
      <c r="B3" s="8" t="s">
        <v>55</v>
      </c>
      <c r="C3" s="9" t="s">
        <v>2</v>
      </c>
      <c r="D3" s="9" t="s">
        <v>1</v>
      </c>
      <c r="E3" s="9" t="s">
        <v>3</v>
      </c>
      <c r="F3" s="9" t="s">
        <v>4</v>
      </c>
      <c r="G3" s="6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53</v>
      </c>
      <c r="O3" s="9" t="s">
        <v>14</v>
      </c>
      <c r="P3" s="9" t="s">
        <v>15</v>
      </c>
      <c r="Q3" s="13" t="s">
        <v>184</v>
      </c>
      <c r="R3" s="10" t="s">
        <v>12</v>
      </c>
      <c r="S3" s="12" t="s">
        <v>13</v>
      </c>
      <c r="T3" s="13" t="s">
        <v>178</v>
      </c>
      <c r="U3" s="13" t="s">
        <v>179</v>
      </c>
    </row>
    <row r="4" spans="1:21" s="1" customFormat="1" ht="28.5">
      <c r="A4" s="36">
        <f>1</f>
        <v>1</v>
      </c>
      <c r="B4" s="23" t="s">
        <v>27</v>
      </c>
      <c r="C4" s="24">
        <v>1090</v>
      </c>
      <c r="D4" s="24">
        <v>1182</v>
      </c>
      <c r="E4" s="25">
        <v>10</v>
      </c>
      <c r="F4" s="25">
        <f>10+50</f>
        <v>60</v>
      </c>
      <c r="G4" s="25">
        <v>15</v>
      </c>
      <c r="H4" s="25">
        <v>0</v>
      </c>
      <c r="I4" s="25">
        <v>0</v>
      </c>
      <c r="J4" s="25">
        <v>0</v>
      </c>
      <c r="K4" s="26">
        <v>1.05</v>
      </c>
      <c r="L4" s="26">
        <f>14.01+2.59+0.36</f>
        <v>16.96</v>
      </c>
      <c r="M4" s="26">
        <v>0</v>
      </c>
      <c r="N4" s="39">
        <f aca="true" t="shared" si="0" ref="N4:N37">C4+D4+E4+F4+G4+H4+I4+J4+K4+L4+M4</f>
        <v>2375.01</v>
      </c>
      <c r="O4" s="40">
        <v>16.25</v>
      </c>
      <c r="P4" s="40">
        <v>17.25</v>
      </c>
      <c r="Q4" s="40">
        <f aca="true" t="shared" si="1" ref="Q4:Q38">O4+P4</f>
        <v>33.5</v>
      </c>
      <c r="R4" s="41">
        <v>87.46</v>
      </c>
      <c r="S4" s="41">
        <v>107.395</v>
      </c>
      <c r="T4" s="42">
        <f aca="true" t="shared" si="2" ref="T4:T38">N4/Q4</f>
        <v>70.89582089552239</v>
      </c>
      <c r="U4" s="40">
        <f aca="true" t="shared" si="3" ref="U4:U11">R4+S4</f>
        <v>194.855</v>
      </c>
    </row>
    <row r="5" spans="1:21" ht="28.5">
      <c r="A5" s="37">
        <f>A4+1</f>
        <v>2</v>
      </c>
      <c r="B5" s="23" t="s">
        <v>46</v>
      </c>
      <c r="C5" s="24">
        <v>987</v>
      </c>
      <c r="D5" s="24">
        <v>794</v>
      </c>
      <c r="E5" s="25">
        <v>0</v>
      </c>
      <c r="F5" s="25">
        <f>10+10+10+35</f>
        <v>65</v>
      </c>
      <c r="G5" s="25">
        <v>30</v>
      </c>
      <c r="H5" s="25">
        <v>0</v>
      </c>
      <c r="I5" s="25">
        <f>6.67+6.67</f>
        <v>13.34</v>
      </c>
      <c r="J5" s="25">
        <f>9.33+4.66+6.66+2.3+9.93</f>
        <v>32.879999999999995</v>
      </c>
      <c r="K5" s="25">
        <v>0</v>
      </c>
      <c r="L5" s="25">
        <v>0</v>
      </c>
      <c r="M5" s="25">
        <v>0</v>
      </c>
      <c r="N5" s="39">
        <f t="shared" si="0"/>
        <v>1922.2199999999998</v>
      </c>
      <c r="O5" s="40">
        <v>14.575</v>
      </c>
      <c r="P5" s="40">
        <v>13.575</v>
      </c>
      <c r="Q5" s="40">
        <f t="shared" si="1"/>
        <v>28.15</v>
      </c>
      <c r="R5" s="41">
        <v>130.897</v>
      </c>
      <c r="S5" s="41">
        <v>69.483</v>
      </c>
      <c r="T5" s="42">
        <f t="shared" si="2"/>
        <v>68.28490230905861</v>
      </c>
      <c r="U5" s="40">
        <f t="shared" si="3"/>
        <v>200.38</v>
      </c>
    </row>
    <row r="6" spans="1:21" ht="14.25">
      <c r="A6" s="37">
        <f aca="true" t="shared" si="4" ref="A6:A38">A5+1</f>
        <v>3</v>
      </c>
      <c r="B6" s="23" t="s">
        <v>18</v>
      </c>
      <c r="C6" s="24">
        <v>554</v>
      </c>
      <c r="D6" s="24">
        <v>821</v>
      </c>
      <c r="E6" s="25">
        <f>10+10+35</f>
        <v>55</v>
      </c>
      <c r="F6" s="25">
        <f>10+35</f>
        <v>45</v>
      </c>
      <c r="G6" s="25">
        <v>0</v>
      </c>
      <c r="H6" s="25">
        <v>30</v>
      </c>
      <c r="I6" s="25">
        <v>0</v>
      </c>
      <c r="J6" s="25">
        <v>0</v>
      </c>
      <c r="K6" s="26">
        <f>4.02+1.15+4.99+1.19+0.12+0.45</f>
        <v>11.919999999999998</v>
      </c>
      <c r="L6" s="26">
        <f>49.89+1.74+2.3+4.99+2.42</f>
        <v>61.34</v>
      </c>
      <c r="M6" s="26">
        <v>-60</v>
      </c>
      <c r="N6" s="39">
        <f t="shared" si="0"/>
        <v>1518.26</v>
      </c>
      <c r="O6" s="40">
        <v>21</v>
      </c>
      <c r="P6" s="40">
        <v>21</v>
      </c>
      <c r="Q6" s="40">
        <f t="shared" si="1"/>
        <v>42</v>
      </c>
      <c r="R6" s="41">
        <v>48.213</v>
      </c>
      <c r="S6" s="41">
        <v>69.449</v>
      </c>
      <c r="T6" s="42">
        <f t="shared" si="2"/>
        <v>36.14904761904762</v>
      </c>
      <c r="U6" s="40">
        <f t="shared" si="3"/>
        <v>117.662</v>
      </c>
    </row>
    <row r="7" spans="1:21" ht="14.25">
      <c r="A7" s="37">
        <f t="shared" si="4"/>
        <v>4</v>
      </c>
      <c r="B7" s="23" t="s">
        <v>32</v>
      </c>
      <c r="C7" s="24">
        <v>603</v>
      </c>
      <c r="D7" s="24">
        <v>531</v>
      </c>
      <c r="E7" s="25">
        <v>0</v>
      </c>
      <c r="F7" s="25">
        <v>35</v>
      </c>
      <c r="G7" s="25">
        <v>0</v>
      </c>
      <c r="H7" s="25">
        <v>0</v>
      </c>
      <c r="I7" s="25">
        <v>0</v>
      </c>
      <c r="J7" s="25">
        <v>0</v>
      </c>
      <c r="K7" s="26">
        <v>0</v>
      </c>
      <c r="L7" s="25">
        <v>1.05</v>
      </c>
      <c r="M7" s="25">
        <v>0</v>
      </c>
      <c r="N7" s="39">
        <f t="shared" si="0"/>
        <v>1170.05</v>
      </c>
      <c r="O7" s="40">
        <v>11</v>
      </c>
      <c r="P7" s="40">
        <v>12</v>
      </c>
      <c r="Q7" s="40">
        <f t="shared" si="1"/>
        <v>23</v>
      </c>
      <c r="R7" s="41">
        <v>50.533</v>
      </c>
      <c r="S7" s="41">
        <v>55.19</v>
      </c>
      <c r="T7" s="42">
        <f t="shared" si="2"/>
        <v>50.87173913043478</v>
      </c>
      <c r="U7" s="40">
        <f t="shared" si="3"/>
        <v>105.723</v>
      </c>
    </row>
    <row r="8" spans="1:21" ht="14.25">
      <c r="A8" s="37">
        <f t="shared" si="4"/>
        <v>5</v>
      </c>
      <c r="B8" s="23" t="s">
        <v>16</v>
      </c>
      <c r="C8" s="24">
        <v>290</v>
      </c>
      <c r="D8" s="24">
        <v>535</v>
      </c>
      <c r="E8" s="25">
        <v>20</v>
      </c>
      <c r="F8" s="25">
        <v>10</v>
      </c>
      <c r="G8" s="25">
        <v>0</v>
      </c>
      <c r="H8" s="25">
        <v>0</v>
      </c>
      <c r="I8" s="25">
        <v>0</v>
      </c>
      <c r="J8" s="25">
        <v>0</v>
      </c>
      <c r="K8" s="26">
        <v>3.17</v>
      </c>
      <c r="L8" s="26">
        <f>2.16+0.39+1.92+1.55</f>
        <v>6.0200000000000005</v>
      </c>
      <c r="M8" s="26">
        <v>0</v>
      </c>
      <c r="N8" s="39">
        <f t="shared" si="0"/>
        <v>864.1899999999999</v>
      </c>
      <c r="O8" s="40">
        <v>4</v>
      </c>
      <c r="P8" s="40">
        <v>13</v>
      </c>
      <c r="Q8" s="40">
        <f t="shared" si="1"/>
        <v>17</v>
      </c>
      <c r="R8" s="41">
        <v>24.571</v>
      </c>
      <c r="S8" s="41">
        <v>48.268</v>
      </c>
      <c r="T8" s="42">
        <f t="shared" si="2"/>
        <v>50.834705882352935</v>
      </c>
      <c r="U8" s="40">
        <f t="shared" si="3"/>
        <v>72.839</v>
      </c>
    </row>
    <row r="9" spans="1:21" s="1" customFormat="1" ht="14.25">
      <c r="A9" s="37">
        <f t="shared" si="4"/>
        <v>6</v>
      </c>
      <c r="B9" s="23" t="s">
        <v>30</v>
      </c>
      <c r="C9" s="24">
        <v>377</v>
      </c>
      <c r="D9" s="24">
        <v>400</v>
      </c>
      <c r="E9" s="25">
        <v>20</v>
      </c>
      <c r="F9" s="25">
        <v>10</v>
      </c>
      <c r="G9" s="25">
        <v>30</v>
      </c>
      <c r="H9" s="25">
        <v>0</v>
      </c>
      <c r="I9" s="25">
        <v>0</v>
      </c>
      <c r="J9" s="25">
        <v>0</v>
      </c>
      <c r="K9" s="26">
        <v>0</v>
      </c>
      <c r="L9" s="26">
        <v>0</v>
      </c>
      <c r="M9" s="26">
        <v>0</v>
      </c>
      <c r="N9" s="39">
        <f t="shared" si="0"/>
        <v>837</v>
      </c>
      <c r="O9" s="40">
        <v>16</v>
      </c>
      <c r="P9" s="40">
        <v>16</v>
      </c>
      <c r="Q9" s="40">
        <f t="shared" si="1"/>
        <v>32</v>
      </c>
      <c r="R9" s="41">
        <v>26.431</v>
      </c>
      <c r="S9" s="41">
        <v>24.961</v>
      </c>
      <c r="T9" s="42">
        <f t="shared" si="2"/>
        <v>26.15625</v>
      </c>
      <c r="U9" s="40">
        <f t="shared" si="3"/>
        <v>51.391999999999996</v>
      </c>
    </row>
    <row r="10" spans="1:21" ht="14.25">
      <c r="A10" s="37">
        <f t="shared" si="4"/>
        <v>7</v>
      </c>
      <c r="B10" s="23" t="s">
        <v>34</v>
      </c>
      <c r="C10" s="24">
        <v>373</v>
      </c>
      <c r="D10" s="24">
        <v>354</v>
      </c>
      <c r="E10" s="25">
        <f>10+35</f>
        <v>45</v>
      </c>
      <c r="F10" s="25">
        <f>10+10+10+10+35</f>
        <v>75</v>
      </c>
      <c r="G10" s="25">
        <v>0</v>
      </c>
      <c r="H10" s="25">
        <v>0</v>
      </c>
      <c r="I10" s="25">
        <v>0</v>
      </c>
      <c r="J10" s="25">
        <v>0</v>
      </c>
      <c r="K10" s="25">
        <f>13.17+0.39</f>
        <v>13.56</v>
      </c>
      <c r="L10" s="25">
        <f>1.42+0.86</f>
        <v>2.28</v>
      </c>
      <c r="M10" s="25">
        <v>-30</v>
      </c>
      <c r="N10" s="39">
        <f t="shared" si="0"/>
        <v>832.8399999999999</v>
      </c>
      <c r="O10" s="40">
        <v>14</v>
      </c>
      <c r="P10" s="40">
        <v>19.5</v>
      </c>
      <c r="Q10" s="40">
        <f t="shared" si="1"/>
        <v>33.5</v>
      </c>
      <c r="R10" s="41">
        <v>18.43</v>
      </c>
      <c r="S10" s="41">
        <v>30.912</v>
      </c>
      <c r="T10" s="42">
        <f t="shared" si="2"/>
        <v>24.860895522388056</v>
      </c>
      <c r="U10" s="40">
        <f t="shared" si="3"/>
        <v>49.342</v>
      </c>
    </row>
    <row r="11" spans="1:21" ht="14.25">
      <c r="A11" s="37">
        <f t="shared" si="4"/>
        <v>8</v>
      </c>
      <c r="B11" s="23" t="s">
        <v>24</v>
      </c>
      <c r="C11" s="24">
        <v>456</v>
      </c>
      <c r="D11" s="24">
        <v>324</v>
      </c>
      <c r="E11" s="25">
        <v>35</v>
      </c>
      <c r="F11" s="25">
        <v>35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  <c r="L11" s="26">
        <v>0</v>
      </c>
      <c r="M11" s="26">
        <v>-30</v>
      </c>
      <c r="N11" s="39">
        <f t="shared" si="0"/>
        <v>820</v>
      </c>
      <c r="O11" s="40">
        <v>12</v>
      </c>
      <c r="P11" s="40">
        <v>14</v>
      </c>
      <c r="Q11" s="40">
        <f t="shared" si="1"/>
        <v>26</v>
      </c>
      <c r="R11" s="41">
        <v>48.799</v>
      </c>
      <c r="S11" s="41">
        <v>28.186</v>
      </c>
      <c r="T11" s="42">
        <f t="shared" si="2"/>
        <v>31.53846153846154</v>
      </c>
      <c r="U11" s="40">
        <f t="shared" si="3"/>
        <v>76.985</v>
      </c>
    </row>
    <row r="12" spans="1:21" ht="28.5">
      <c r="A12" s="37">
        <f t="shared" si="4"/>
        <v>9</v>
      </c>
      <c r="B12" s="27" t="s">
        <v>47</v>
      </c>
      <c r="C12" s="28">
        <v>354</v>
      </c>
      <c r="D12" s="28">
        <v>397</v>
      </c>
      <c r="E12" s="29">
        <v>0</v>
      </c>
      <c r="F12" s="29">
        <v>10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9">
        <f t="shared" si="0"/>
        <v>761</v>
      </c>
      <c r="O12" s="40">
        <v>7</v>
      </c>
      <c r="P12" s="40">
        <v>7</v>
      </c>
      <c r="Q12" s="40">
        <f t="shared" si="1"/>
        <v>14</v>
      </c>
      <c r="R12" s="41" t="s">
        <v>52</v>
      </c>
      <c r="S12" s="41">
        <v>66.467</v>
      </c>
      <c r="T12" s="42">
        <f t="shared" si="2"/>
        <v>54.357142857142854</v>
      </c>
      <c r="U12" s="40">
        <v>84.922</v>
      </c>
    </row>
    <row r="13" spans="1:21" ht="14.25">
      <c r="A13" s="37">
        <f t="shared" si="4"/>
        <v>10</v>
      </c>
      <c r="B13" s="27" t="s">
        <v>17</v>
      </c>
      <c r="C13" s="28">
        <v>360</v>
      </c>
      <c r="D13" s="28">
        <v>375</v>
      </c>
      <c r="E13" s="29">
        <v>0</v>
      </c>
      <c r="F13" s="29">
        <v>10</v>
      </c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30"/>
      <c r="M13" s="30">
        <v>-30</v>
      </c>
      <c r="N13" s="39">
        <f t="shared" si="0"/>
        <v>715</v>
      </c>
      <c r="O13" s="40">
        <v>5</v>
      </c>
      <c r="P13" s="40">
        <v>6</v>
      </c>
      <c r="Q13" s="40">
        <f t="shared" si="1"/>
        <v>11</v>
      </c>
      <c r="R13" s="41">
        <v>76.388</v>
      </c>
      <c r="S13" s="41">
        <v>62.141</v>
      </c>
      <c r="T13" s="42">
        <f t="shared" si="2"/>
        <v>65</v>
      </c>
      <c r="U13" s="40">
        <f aca="true" t="shared" si="5" ref="U13:U38">R13+S13</f>
        <v>138.529</v>
      </c>
    </row>
    <row r="14" spans="1:21" ht="14.25">
      <c r="A14" s="37">
        <f t="shared" si="4"/>
        <v>11</v>
      </c>
      <c r="B14" s="23" t="s">
        <v>44</v>
      </c>
      <c r="C14" s="24">
        <v>355</v>
      </c>
      <c r="D14" s="24">
        <v>268</v>
      </c>
      <c r="E14" s="25">
        <v>10</v>
      </c>
      <c r="F14" s="25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39">
        <f t="shared" si="0"/>
        <v>633</v>
      </c>
      <c r="O14" s="40">
        <v>13</v>
      </c>
      <c r="P14" s="40">
        <v>17</v>
      </c>
      <c r="Q14" s="40">
        <f t="shared" si="1"/>
        <v>30</v>
      </c>
      <c r="R14" s="41">
        <v>21.893</v>
      </c>
      <c r="S14" s="41">
        <v>23.606</v>
      </c>
      <c r="T14" s="42">
        <f t="shared" si="2"/>
        <v>21.1</v>
      </c>
      <c r="U14" s="40">
        <f t="shared" si="5"/>
        <v>45.499</v>
      </c>
    </row>
    <row r="15" spans="1:21" ht="14.25">
      <c r="A15" s="37">
        <f t="shared" si="4"/>
        <v>12</v>
      </c>
      <c r="B15" s="23" t="s">
        <v>31</v>
      </c>
      <c r="C15" s="24">
        <v>343</v>
      </c>
      <c r="D15" s="24">
        <v>270</v>
      </c>
      <c r="E15" s="25">
        <f>35+10</f>
        <v>45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6">
        <v>0</v>
      </c>
      <c r="L15" s="26">
        <v>0</v>
      </c>
      <c r="M15" s="26">
        <v>-60</v>
      </c>
      <c r="N15" s="39">
        <f t="shared" si="0"/>
        <v>598</v>
      </c>
      <c r="O15" s="40">
        <v>11.25</v>
      </c>
      <c r="P15" s="40">
        <v>10.25</v>
      </c>
      <c r="Q15" s="40">
        <f t="shared" si="1"/>
        <v>21.5</v>
      </c>
      <c r="R15" s="41">
        <v>24.759</v>
      </c>
      <c r="S15" s="41">
        <v>19.5</v>
      </c>
      <c r="T15" s="42">
        <f t="shared" si="2"/>
        <v>27.813953488372093</v>
      </c>
      <c r="U15" s="40">
        <f t="shared" si="5"/>
        <v>44.259</v>
      </c>
    </row>
    <row r="16" spans="1:21" ht="14.25">
      <c r="A16" s="37">
        <f t="shared" si="4"/>
        <v>13</v>
      </c>
      <c r="B16" s="27" t="s">
        <v>40</v>
      </c>
      <c r="C16" s="28">
        <v>317</v>
      </c>
      <c r="D16" s="28">
        <v>240</v>
      </c>
      <c r="E16" s="29">
        <v>20</v>
      </c>
      <c r="F16" s="29">
        <v>10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/>
      <c r="M16" s="29">
        <v>0</v>
      </c>
      <c r="N16" s="39">
        <f t="shared" si="0"/>
        <v>587</v>
      </c>
      <c r="O16" s="40">
        <v>6</v>
      </c>
      <c r="P16" s="40">
        <v>7</v>
      </c>
      <c r="Q16" s="40">
        <f t="shared" si="1"/>
        <v>13</v>
      </c>
      <c r="R16" s="41">
        <v>18.356</v>
      </c>
      <c r="S16" s="41">
        <v>13.536</v>
      </c>
      <c r="T16" s="42">
        <f t="shared" si="2"/>
        <v>45.15384615384615</v>
      </c>
      <c r="U16" s="40">
        <f t="shared" si="5"/>
        <v>31.892000000000003</v>
      </c>
    </row>
    <row r="17" spans="1:21" ht="28.5">
      <c r="A17" s="37">
        <f t="shared" si="4"/>
        <v>14</v>
      </c>
      <c r="B17" s="23" t="s">
        <v>26</v>
      </c>
      <c r="C17" s="24">
        <v>273</v>
      </c>
      <c r="D17" s="24">
        <v>291</v>
      </c>
      <c r="E17" s="25">
        <v>0</v>
      </c>
      <c r="F17" s="25">
        <v>0</v>
      </c>
      <c r="G17" s="25">
        <v>0</v>
      </c>
      <c r="H17" s="25">
        <v>10</v>
      </c>
      <c r="I17" s="25">
        <v>0</v>
      </c>
      <c r="J17" s="25">
        <v>0</v>
      </c>
      <c r="K17" s="26">
        <v>0</v>
      </c>
      <c r="L17" s="26">
        <v>0</v>
      </c>
      <c r="M17" s="26">
        <v>0</v>
      </c>
      <c r="N17" s="39">
        <f t="shared" si="0"/>
        <v>574</v>
      </c>
      <c r="O17" s="40">
        <v>12</v>
      </c>
      <c r="P17" s="40">
        <v>11</v>
      </c>
      <c r="Q17" s="40">
        <f t="shared" si="1"/>
        <v>23</v>
      </c>
      <c r="R17" s="41">
        <v>7.295</v>
      </c>
      <c r="S17" s="41">
        <v>5.724</v>
      </c>
      <c r="T17" s="42">
        <f t="shared" si="2"/>
        <v>24.956521739130434</v>
      </c>
      <c r="U17" s="40">
        <f t="shared" si="5"/>
        <v>13.019</v>
      </c>
    </row>
    <row r="18" spans="1:21" s="1" customFormat="1" ht="28.5">
      <c r="A18" s="37">
        <f t="shared" si="4"/>
        <v>15</v>
      </c>
      <c r="B18" s="23" t="s">
        <v>28</v>
      </c>
      <c r="C18" s="24">
        <v>249</v>
      </c>
      <c r="D18" s="24">
        <v>243</v>
      </c>
      <c r="E18" s="25">
        <v>0</v>
      </c>
      <c r="F18" s="25">
        <f>10+35</f>
        <v>45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10.78+2.62+0.58</f>
        <v>13.979999999999999</v>
      </c>
      <c r="M18" s="26">
        <v>0</v>
      </c>
      <c r="N18" s="39">
        <f t="shared" si="0"/>
        <v>550.98</v>
      </c>
      <c r="O18" s="40">
        <v>14</v>
      </c>
      <c r="P18" s="40">
        <v>12</v>
      </c>
      <c r="Q18" s="40">
        <f t="shared" si="1"/>
        <v>26</v>
      </c>
      <c r="R18" s="41">
        <v>9.653</v>
      </c>
      <c r="S18" s="41">
        <v>10.24</v>
      </c>
      <c r="T18" s="42">
        <f t="shared" si="2"/>
        <v>21.191538461538464</v>
      </c>
      <c r="U18" s="40">
        <f t="shared" si="5"/>
        <v>19.893</v>
      </c>
    </row>
    <row r="19" spans="1:21" ht="18" customHeight="1">
      <c r="A19" s="37">
        <f t="shared" si="4"/>
        <v>16</v>
      </c>
      <c r="B19" s="23" t="s">
        <v>37</v>
      </c>
      <c r="C19" s="24">
        <v>248</v>
      </c>
      <c r="D19" s="24">
        <v>244</v>
      </c>
      <c r="E19" s="25">
        <v>0</v>
      </c>
      <c r="F19" s="25">
        <v>0</v>
      </c>
      <c r="G19" s="25">
        <v>15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39">
        <f t="shared" si="0"/>
        <v>507</v>
      </c>
      <c r="O19" s="40">
        <v>8</v>
      </c>
      <c r="P19" s="40">
        <v>8</v>
      </c>
      <c r="Q19" s="40">
        <f t="shared" si="1"/>
        <v>16</v>
      </c>
      <c r="R19" s="41">
        <v>19.738</v>
      </c>
      <c r="S19" s="41">
        <v>20.487</v>
      </c>
      <c r="T19" s="42">
        <f t="shared" si="2"/>
        <v>31.6875</v>
      </c>
      <c r="U19" s="40">
        <f t="shared" si="5"/>
        <v>40.224999999999994</v>
      </c>
    </row>
    <row r="20" spans="1:21" ht="14.25">
      <c r="A20" s="37">
        <f t="shared" si="4"/>
        <v>17</v>
      </c>
      <c r="B20" s="23" t="s">
        <v>23</v>
      </c>
      <c r="C20" s="24">
        <v>212</v>
      </c>
      <c r="D20" s="24">
        <v>223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6">
        <v>5.86</v>
      </c>
      <c r="M20" s="26">
        <v>0</v>
      </c>
      <c r="N20" s="39">
        <f t="shared" si="0"/>
        <v>440.86</v>
      </c>
      <c r="O20" s="40">
        <v>20</v>
      </c>
      <c r="P20" s="40">
        <v>21</v>
      </c>
      <c r="Q20" s="40">
        <f t="shared" si="1"/>
        <v>41</v>
      </c>
      <c r="R20" s="41">
        <v>16.123</v>
      </c>
      <c r="S20" s="41">
        <v>17.775</v>
      </c>
      <c r="T20" s="42">
        <f t="shared" si="2"/>
        <v>10.75268292682927</v>
      </c>
      <c r="U20" s="40">
        <f t="shared" si="5"/>
        <v>33.897999999999996</v>
      </c>
    </row>
    <row r="21" spans="1:21" ht="14.25">
      <c r="A21" s="37">
        <f t="shared" si="4"/>
        <v>18</v>
      </c>
      <c r="B21" s="23" t="s">
        <v>29</v>
      </c>
      <c r="C21" s="24">
        <v>245</v>
      </c>
      <c r="D21" s="24">
        <v>176</v>
      </c>
      <c r="E21" s="25">
        <v>10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6">
        <f>0.6+1.29</f>
        <v>1.8900000000000001</v>
      </c>
      <c r="L21" s="26">
        <v>0</v>
      </c>
      <c r="M21" s="26">
        <v>0</v>
      </c>
      <c r="N21" s="39">
        <f t="shared" si="0"/>
        <v>432.89</v>
      </c>
      <c r="O21" s="40">
        <v>6</v>
      </c>
      <c r="P21" s="40">
        <v>6</v>
      </c>
      <c r="Q21" s="40">
        <f t="shared" si="1"/>
        <v>12</v>
      </c>
      <c r="R21" s="41">
        <v>18.2</v>
      </c>
      <c r="S21" s="41">
        <v>12.235</v>
      </c>
      <c r="T21" s="42">
        <f t="shared" si="2"/>
        <v>36.07416666666666</v>
      </c>
      <c r="U21" s="40">
        <f t="shared" si="5"/>
        <v>30.435</v>
      </c>
    </row>
    <row r="22" spans="1:21" s="2" customFormat="1" ht="28.5">
      <c r="A22" s="36">
        <f t="shared" si="4"/>
        <v>19</v>
      </c>
      <c r="B22" s="23" t="s">
        <v>20</v>
      </c>
      <c r="C22" s="24">
        <v>107</v>
      </c>
      <c r="D22" s="24">
        <v>265</v>
      </c>
      <c r="E22" s="25">
        <v>0</v>
      </c>
      <c r="F22" s="25">
        <f>10</f>
        <v>10</v>
      </c>
      <c r="G22" s="25">
        <v>0</v>
      </c>
      <c r="H22" s="25">
        <v>0</v>
      </c>
      <c r="I22" s="25">
        <v>0</v>
      </c>
      <c r="J22" s="25">
        <v>0</v>
      </c>
      <c r="K22" s="26">
        <f>6.8+8.72+13.24+1.2</f>
        <v>29.959999999999997</v>
      </c>
      <c r="L22" s="26">
        <f>3.63+7.41+5.64</f>
        <v>16.68</v>
      </c>
      <c r="M22" s="26">
        <v>0</v>
      </c>
      <c r="N22" s="87">
        <f t="shared" si="0"/>
        <v>428.64</v>
      </c>
      <c r="O22" s="88">
        <v>8</v>
      </c>
      <c r="P22" s="88">
        <v>8.5</v>
      </c>
      <c r="Q22" s="88">
        <v>7</v>
      </c>
      <c r="R22" s="89">
        <v>11.136</v>
      </c>
      <c r="S22" s="89">
        <v>36.122</v>
      </c>
      <c r="T22" s="90">
        <f t="shared" si="2"/>
        <v>61.23428571428571</v>
      </c>
      <c r="U22" s="88">
        <f t="shared" si="5"/>
        <v>47.257999999999996</v>
      </c>
    </row>
    <row r="23" spans="1:21" ht="14.25">
      <c r="A23" s="36">
        <f t="shared" si="4"/>
        <v>20</v>
      </c>
      <c r="B23" s="23" t="s">
        <v>35</v>
      </c>
      <c r="C23" s="24">
        <v>253</v>
      </c>
      <c r="D23" s="24">
        <v>154</v>
      </c>
      <c r="E23" s="25">
        <v>0</v>
      </c>
      <c r="F23" s="25"/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/>
      <c r="M23" s="25">
        <v>0</v>
      </c>
      <c r="N23" s="87">
        <f t="shared" si="0"/>
        <v>407</v>
      </c>
      <c r="O23" s="88">
        <v>4</v>
      </c>
      <c r="P23" s="88">
        <v>11.5</v>
      </c>
      <c r="Q23" s="88">
        <f t="shared" si="1"/>
        <v>15.5</v>
      </c>
      <c r="R23" s="89">
        <v>19.732</v>
      </c>
      <c r="S23" s="89">
        <v>4.725</v>
      </c>
      <c r="T23" s="90">
        <f t="shared" si="2"/>
        <v>26.258064516129032</v>
      </c>
      <c r="U23" s="88">
        <f t="shared" si="5"/>
        <v>24.457</v>
      </c>
    </row>
    <row r="24" spans="1:21" s="1" customFormat="1" ht="14.25">
      <c r="A24" s="36">
        <f t="shared" si="4"/>
        <v>21</v>
      </c>
      <c r="B24" s="23" t="s">
        <v>25</v>
      </c>
      <c r="C24" s="24">
        <v>130</v>
      </c>
      <c r="D24" s="24">
        <v>226</v>
      </c>
      <c r="E24" s="25">
        <v>0</v>
      </c>
      <c r="F24" s="25">
        <v>10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6">
        <v>0</v>
      </c>
      <c r="M24" s="26">
        <v>0</v>
      </c>
      <c r="N24" s="87">
        <f t="shared" si="0"/>
        <v>366</v>
      </c>
      <c r="O24" s="88">
        <v>5</v>
      </c>
      <c r="P24" s="88">
        <v>6</v>
      </c>
      <c r="Q24" s="88">
        <f t="shared" si="1"/>
        <v>11</v>
      </c>
      <c r="R24" s="89">
        <v>1.472</v>
      </c>
      <c r="S24" s="89">
        <v>15.662</v>
      </c>
      <c r="T24" s="90">
        <f t="shared" si="2"/>
        <v>33.27272727272727</v>
      </c>
      <c r="U24" s="88">
        <f t="shared" si="5"/>
        <v>17.134</v>
      </c>
    </row>
    <row r="25" spans="1:21" ht="14.25">
      <c r="A25" s="36">
        <f t="shared" si="4"/>
        <v>22</v>
      </c>
      <c r="B25" s="23" t="s">
        <v>43</v>
      </c>
      <c r="C25" s="24">
        <v>163</v>
      </c>
      <c r="D25" s="24">
        <v>113</v>
      </c>
      <c r="E25" s="25">
        <v>20</v>
      </c>
      <c r="F25" s="25">
        <f>10+35</f>
        <v>45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87">
        <f t="shared" si="0"/>
        <v>341</v>
      </c>
      <c r="O25" s="88">
        <v>13</v>
      </c>
      <c r="P25" s="88">
        <v>11</v>
      </c>
      <c r="Q25" s="88">
        <f t="shared" si="1"/>
        <v>24</v>
      </c>
      <c r="R25" s="89">
        <v>9.75</v>
      </c>
      <c r="S25" s="89">
        <v>6.401</v>
      </c>
      <c r="T25" s="90">
        <f t="shared" si="2"/>
        <v>14.208333333333334</v>
      </c>
      <c r="U25" s="88">
        <f t="shared" si="5"/>
        <v>16.151</v>
      </c>
    </row>
    <row r="26" spans="1:21" ht="14.25">
      <c r="A26" s="36">
        <f t="shared" si="4"/>
        <v>23</v>
      </c>
      <c r="B26" s="23" t="s">
        <v>39</v>
      </c>
      <c r="C26" s="24">
        <v>99</v>
      </c>
      <c r="D26" s="24">
        <v>221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1.96</v>
      </c>
      <c r="L26" s="25">
        <v>1.96</v>
      </c>
      <c r="M26" s="25">
        <v>0</v>
      </c>
      <c r="N26" s="87">
        <f t="shared" si="0"/>
        <v>323.91999999999996</v>
      </c>
      <c r="O26" s="88">
        <v>10</v>
      </c>
      <c r="P26" s="88">
        <v>11</v>
      </c>
      <c r="Q26" s="88">
        <f t="shared" si="1"/>
        <v>21</v>
      </c>
      <c r="R26" s="89">
        <v>5.431</v>
      </c>
      <c r="S26" s="89">
        <v>28.75</v>
      </c>
      <c r="T26" s="90">
        <f t="shared" si="2"/>
        <v>15.424761904761903</v>
      </c>
      <c r="U26" s="88">
        <f t="shared" si="5"/>
        <v>34.181</v>
      </c>
    </row>
    <row r="27" spans="1:21" ht="14.25">
      <c r="A27" s="36">
        <f t="shared" si="4"/>
        <v>24</v>
      </c>
      <c r="B27" s="23" t="s">
        <v>38</v>
      </c>
      <c r="C27" s="24">
        <v>114</v>
      </c>
      <c r="D27" s="24">
        <v>153</v>
      </c>
      <c r="E27" s="25">
        <v>10</v>
      </c>
      <c r="F27" s="25">
        <v>35</v>
      </c>
      <c r="G27" s="25">
        <v>0</v>
      </c>
      <c r="H27" s="25">
        <v>0</v>
      </c>
      <c r="I27" s="25">
        <v>1.64</v>
      </c>
      <c r="J27" s="25">
        <v>1.64</v>
      </c>
      <c r="K27" s="25">
        <v>0</v>
      </c>
      <c r="L27" s="25">
        <v>0</v>
      </c>
      <c r="M27" s="25">
        <v>0</v>
      </c>
      <c r="N27" s="87">
        <f t="shared" si="0"/>
        <v>315.28</v>
      </c>
      <c r="O27" s="88">
        <v>8</v>
      </c>
      <c r="P27" s="88">
        <v>9</v>
      </c>
      <c r="Q27" s="88">
        <f t="shared" si="1"/>
        <v>17</v>
      </c>
      <c r="R27" s="89">
        <v>6.101</v>
      </c>
      <c r="S27" s="89">
        <v>12.998</v>
      </c>
      <c r="T27" s="90">
        <f t="shared" si="2"/>
        <v>18.545882352941174</v>
      </c>
      <c r="U27" s="88">
        <f t="shared" si="5"/>
        <v>19.099</v>
      </c>
    </row>
    <row r="28" spans="1:21" ht="14.25">
      <c r="A28" s="36">
        <f t="shared" si="4"/>
        <v>25</v>
      </c>
      <c r="B28" s="23" t="s">
        <v>22</v>
      </c>
      <c r="C28" s="24">
        <v>185</v>
      </c>
      <c r="D28" s="24">
        <v>85</v>
      </c>
      <c r="E28" s="25">
        <v>35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6"/>
      <c r="M28" s="26">
        <v>0</v>
      </c>
      <c r="N28" s="87">
        <f t="shared" si="0"/>
        <v>305</v>
      </c>
      <c r="O28" s="88">
        <v>9</v>
      </c>
      <c r="P28" s="88">
        <v>11</v>
      </c>
      <c r="Q28" s="88">
        <f t="shared" si="1"/>
        <v>20</v>
      </c>
      <c r="R28" s="89">
        <v>18.695</v>
      </c>
      <c r="S28" s="89">
        <v>4.316</v>
      </c>
      <c r="T28" s="90">
        <f t="shared" si="2"/>
        <v>15.25</v>
      </c>
      <c r="U28" s="88">
        <f t="shared" si="5"/>
        <v>23.011</v>
      </c>
    </row>
    <row r="29" spans="1:21" ht="14.25">
      <c r="A29" s="36">
        <f t="shared" si="4"/>
        <v>26</v>
      </c>
      <c r="B29" s="23" t="s">
        <v>42</v>
      </c>
      <c r="C29" s="24">
        <v>139</v>
      </c>
      <c r="D29" s="24">
        <v>154</v>
      </c>
      <c r="E29" s="25">
        <v>0</v>
      </c>
      <c r="F29" s="25">
        <v>10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87">
        <f t="shared" si="0"/>
        <v>303</v>
      </c>
      <c r="O29" s="88">
        <v>13</v>
      </c>
      <c r="P29" s="88">
        <v>16</v>
      </c>
      <c r="Q29" s="88">
        <f t="shared" si="1"/>
        <v>29</v>
      </c>
      <c r="R29" s="89">
        <v>9.547</v>
      </c>
      <c r="S29" s="89">
        <v>10.418</v>
      </c>
      <c r="T29" s="90">
        <f t="shared" si="2"/>
        <v>10.448275862068966</v>
      </c>
      <c r="U29" s="88">
        <f t="shared" si="5"/>
        <v>19.965</v>
      </c>
    </row>
    <row r="30" spans="1:21" s="1" customFormat="1" ht="14.25">
      <c r="A30" s="36">
        <f t="shared" si="4"/>
        <v>27</v>
      </c>
      <c r="B30" s="23" t="s">
        <v>21</v>
      </c>
      <c r="C30" s="24">
        <v>115</v>
      </c>
      <c r="D30" s="24">
        <v>125</v>
      </c>
      <c r="E30" s="25">
        <v>35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f>2.68+0.17</f>
        <v>2.85</v>
      </c>
      <c r="L30" s="26">
        <v>1.5</v>
      </c>
      <c r="M30" s="26">
        <v>-30</v>
      </c>
      <c r="N30" s="87">
        <f t="shared" si="0"/>
        <v>249.35000000000002</v>
      </c>
      <c r="O30" s="88">
        <v>8</v>
      </c>
      <c r="P30" s="88">
        <v>9</v>
      </c>
      <c r="Q30" s="88">
        <f t="shared" si="1"/>
        <v>17</v>
      </c>
      <c r="R30" s="89">
        <v>10.995</v>
      </c>
      <c r="S30" s="89">
        <v>9.943</v>
      </c>
      <c r="T30" s="90">
        <f t="shared" si="2"/>
        <v>14.667647058823531</v>
      </c>
      <c r="U30" s="88">
        <f t="shared" si="5"/>
        <v>20.938</v>
      </c>
    </row>
    <row r="31" spans="1:21" s="1" customFormat="1" ht="14.25">
      <c r="A31" s="36">
        <f t="shared" si="4"/>
        <v>28</v>
      </c>
      <c r="B31" s="23" t="s">
        <v>49</v>
      </c>
      <c r="C31" s="24">
        <v>132</v>
      </c>
      <c r="D31" s="24">
        <v>94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87">
        <f t="shared" si="0"/>
        <v>226</v>
      </c>
      <c r="O31" s="88">
        <v>5</v>
      </c>
      <c r="P31" s="88">
        <v>7</v>
      </c>
      <c r="Q31" s="88">
        <f t="shared" si="1"/>
        <v>12</v>
      </c>
      <c r="R31" s="89">
        <v>2.458</v>
      </c>
      <c r="S31" s="89">
        <v>1.459</v>
      </c>
      <c r="T31" s="90">
        <f t="shared" si="2"/>
        <v>18.833333333333332</v>
      </c>
      <c r="U31" s="88">
        <f t="shared" si="5"/>
        <v>3.9170000000000003</v>
      </c>
    </row>
    <row r="32" spans="1:21" s="1" customFormat="1" ht="14.25">
      <c r="A32" s="36">
        <f t="shared" si="4"/>
        <v>29</v>
      </c>
      <c r="B32" s="23" t="s">
        <v>33</v>
      </c>
      <c r="C32" s="24">
        <v>128</v>
      </c>
      <c r="D32" s="24">
        <v>109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5">
        <v>0</v>
      </c>
      <c r="M32" s="25">
        <v>-30</v>
      </c>
      <c r="N32" s="87">
        <f t="shared" si="0"/>
        <v>207</v>
      </c>
      <c r="O32" s="88">
        <v>6.5</v>
      </c>
      <c r="P32" s="88">
        <v>6.5</v>
      </c>
      <c r="Q32" s="88">
        <f t="shared" si="1"/>
        <v>13</v>
      </c>
      <c r="R32" s="89">
        <v>2.013</v>
      </c>
      <c r="S32" s="89">
        <v>0.829</v>
      </c>
      <c r="T32" s="90">
        <f t="shared" si="2"/>
        <v>15.923076923076923</v>
      </c>
      <c r="U32" s="88">
        <f t="shared" si="5"/>
        <v>2.8419999999999996</v>
      </c>
    </row>
    <row r="33" spans="1:21" s="1" customFormat="1" ht="14.25">
      <c r="A33" s="36">
        <f t="shared" si="4"/>
        <v>30</v>
      </c>
      <c r="B33" s="23" t="s">
        <v>45</v>
      </c>
      <c r="C33" s="24">
        <v>31</v>
      </c>
      <c r="D33" s="24">
        <v>110</v>
      </c>
      <c r="E33" s="25">
        <v>0</v>
      </c>
      <c r="F33" s="25">
        <v>10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0.93</v>
      </c>
      <c r="M33" s="25">
        <v>0</v>
      </c>
      <c r="N33" s="87">
        <f t="shared" si="0"/>
        <v>151.93</v>
      </c>
      <c r="O33" s="88">
        <v>1</v>
      </c>
      <c r="P33" s="88">
        <v>5</v>
      </c>
      <c r="Q33" s="88">
        <f t="shared" si="1"/>
        <v>6</v>
      </c>
      <c r="R33" s="89">
        <v>0</v>
      </c>
      <c r="S33" s="89">
        <v>0.918</v>
      </c>
      <c r="T33" s="90">
        <f t="shared" si="2"/>
        <v>25.32166666666667</v>
      </c>
      <c r="U33" s="88">
        <f t="shared" si="5"/>
        <v>0.918</v>
      </c>
    </row>
    <row r="34" spans="1:21" s="1" customFormat="1" ht="28.5">
      <c r="A34" s="36">
        <f t="shared" si="4"/>
        <v>31</v>
      </c>
      <c r="B34" s="23" t="s">
        <v>36</v>
      </c>
      <c r="C34" s="24">
        <v>26</v>
      </c>
      <c r="D34" s="24">
        <v>100</v>
      </c>
      <c r="E34" s="25">
        <v>0</v>
      </c>
      <c r="F34" s="25">
        <f>10</f>
        <v>10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87">
        <f t="shared" si="0"/>
        <v>136</v>
      </c>
      <c r="O34" s="88">
        <v>5</v>
      </c>
      <c r="P34" s="88">
        <v>6.5</v>
      </c>
      <c r="Q34" s="88">
        <f t="shared" si="1"/>
        <v>11.5</v>
      </c>
      <c r="R34" s="89">
        <v>0</v>
      </c>
      <c r="S34" s="89">
        <v>10.248</v>
      </c>
      <c r="T34" s="90">
        <f t="shared" si="2"/>
        <v>11.826086956521738</v>
      </c>
      <c r="U34" s="88">
        <f t="shared" si="5"/>
        <v>10.248</v>
      </c>
    </row>
    <row r="35" spans="1:21" ht="14.25">
      <c r="A35" s="36">
        <f t="shared" si="4"/>
        <v>32</v>
      </c>
      <c r="B35" s="23" t="s">
        <v>48</v>
      </c>
      <c r="C35" s="24">
        <v>83</v>
      </c>
      <c r="D35" s="24">
        <v>35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87">
        <f t="shared" si="0"/>
        <v>118</v>
      </c>
      <c r="O35" s="88">
        <v>3</v>
      </c>
      <c r="P35" s="88">
        <v>3</v>
      </c>
      <c r="Q35" s="88">
        <f t="shared" si="1"/>
        <v>6</v>
      </c>
      <c r="R35" s="89">
        <v>0</v>
      </c>
      <c r="S35" s="89">
        <v>0</v>
      </c>
      <c r="T35" s="90">
        <f t="shared" si="2"/>
        <v>19.666666666666668</v>
      </c>
      <c r="U35" s="88">
        <f t="shared" si="5"/>
        <v>0</v>
      </c>
    </row>
    <row r="36" spans="1:21" ht="28.5">
      <c r="A36" s="36">
        <f t="shared" si="4"/>
        <v>33</v>
      </c>
      <c r="B36" s="23" t="s">
        <v>41</v>
      </c>
      <c r="C36" s="24">
        <v>33</v>
      </c>
      <c r="D36" s="24">
        <v>85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-30</v>
      </c>
      <c r="N36" s="87">
        <f t="shared" si="0"/>
        <v>88</v>
      </c>
      <c r="O36" s="88">
        <v>4</v>
      </c>
      <c r="P36" s="88">
        <v>7</v>
      </c>
      <c r="Q36" s="88">
        <f t="shared" si="1"/>
        <v>11</v>
      </c>
      <c r="R36" s="89">
        <v>2.625</v>
      </c>
      <c r="S36" s="89">
        <v>2.365</v>
      </c>
      <c r="T36" s="90">
        <f t="shared" si="2"/>
        <v>8</v>
      </c>
      <c r="U36" s="88">
        <f t="shared" si="5"/>
        <v>4.99</v>
      </c>
    </row>
    <row r="37" spans="1:21" s="1" customFormat="1" ht="15" thickBot="1">
      <c r="A37" s="36">
        <f t="shared" si="4"/>
        <v>34</v>
      </c>
      <c r="B37" s="23" t="s">
        <v>19</v>
      </c>
      <c r="C37" s="31">
        <v>70</v>
      </c>
      <c r="D37" s="24">
        <v>25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>
        <f>7.63</f>
        <v>7.63</v>
      </c>
      <c r="L37" s="26">
        <v>3.98</v>
      </c>
      <c r="M37" s="26">
        <v>-60</v>
      </c>
      <c r="N37" s="87">
        <f t="shared" si="0"/>
        <v>46.61</v>
      </c>
      <c r="O37" s="88">
        <v>4</v>
      </c>
      <c r="P37" s="88">
        <v>3</v>
      </c>
      <c r="Q37" s="88">
        <v>16.5</v>
      </c>
      <c r="R37" s="91">
        <v>7.008</v>
      </c>
      <c r="S37" s="89">
        <v>2.759</v>
      </c>
      <c r="T37" s="90">
        <f t="shared" si="2"/>
        <v>2.8248484848484847</v>
      </c>
      <c r="U37" s="88">
        <f t="shared" si="5"/>
        <v>9.767</v>
      </c>
    </row>
    <row r="38" spans="1:21" ht="15" thickBot="1">
      <c r="A38" s="37">
        <f t="shared" si="4"/>
        <v>35</v>
      </c>
      <c r="B38" s="32" t="s">
        <v>50</v>
      </c>
      <c r="C38" s="33" t="s">
        <v>51</v>
      </c>
      <c r="D38" s="33" t="s">
        <v>51</v>
      </c>
      <c r="E38" s="33" t="s">
        <v>51</v>
      </c>
      <c r="F38" s="33" t="s">
        <v>51</v>
      </c>
      <c r="G38" s="33" t="s">
        <v>51</v>
      </c>
      <c r="H38" s="33" t="s">
        <v>51</v>
      </c>
      <c r="I38" s="33" t="s">
        <v>51</v>
      </c>
      <c r="J38" s="33" t="s">
        <v>51</v>
      </c>
      <c r="K38" s="33" t="s">
        <v>51</v>
      </c>
      <c r="L38" s="33" t="s">
        <v>51</v>
      </c>
      <c r="M38" s="33" t="s">
        <v>51</v>
      </c>
      <c r="N38" s="43">
        <v>0</v>
      </c>
      <c r="O38" s="44">
        <v>0</v>
      </c>
      <c r="P38" s="44">
        <v>1</v>
      </c>
      <c r="Q38" s="44">
        <f t="shared" si="1"/>
        <v>1</v>
      </c>
      <c r="R38" s="45">
        <v>0</v>
      </c>
      <c r="S38" s="45">
        <v>0</v>
      </c>
      <c r="T38" s="46">
        <f t="shared" si="2"/>
        <v>0</v>
      </c>
      <c r="U38" s="44">
        <f t="shared" si="5"/>
        <v>0</v>
      </c>
    </row>
    <row r="39" spans="1:21" ht="22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7">
        <f>SUM(N4:N38)</f>
        <v>20152.029999999995</v>
      </c>
      <c r="O39" s="47"/>
      <c r="P39" s="47"/>
      <c r="Q39" s="47">
        <f>SUM(Q4:Q38)</f>
        <v>681.15</v>
      </c>
      <c r="R39" s="38"/>
      <c r="S39" s="38"/>
      <c r="T39" s="38"/>
      <c r="U39" s="38"/>
    </row>
    <row r="40" spans="1:21" ht="14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4.25">
      <c r="A41" s="34"/>
      <c r="B41" s="35" t="s">
        <v>54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2:20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/>
  <mergeCells count="1">
    <mergeCell ref="A2:U2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375" style="0" customWidth="1"/>
    <col min="2" max="2" width="54.75390625" style="0" customWidth="1"/>
    <col min="3" max="13" width="0" style="0" hidden="1" customWidth="1"/>
    <col min="14" max="14" width="13.00390625" style="0" customWidth="1"/>
    <col min="15" max="18" width="0" style="0" hidden="1" customWidth="1"/>
    <col min="19" max="20" width="11.875" style="0" customWidth="1"/>
    <col min="21" max="21" width="11.25390625" style="0" customWidth="1"/>
  </cols>
  <sheetData>
    <row r="2" spans="1:21" ht="43.5" customHeight="1">
      <c r="A2" s="93" t="s">
        <v>187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ht="90" customHeight="1">
      <c r="A3" s="7" t="s">
        <v>0</v>
      </c>
      <c r="B3" s="8" t="s">
        <v>55</v>
      </c>
      <c r="C3" s="9" t="s">
        <v>2</v>
      </c>
      <c r="D3" s="9" t="s">
        <v>1</v>
      </c>
      <c r="E3" s="9" t="s">
        <v>3</v>
      </c>
      <c r="F3" s="9" t="s">
        <v>4</v>
      </c>
      <c r="G3" s="6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53</v>
      </c>
      <c r="O3" s="9" t="s">
        <v>14</v>
      </c>
      <c r="P3" s="9" t="s">
        <v>15</v>
      </c>
      <c r="Q3" s="13" t="s">
        <v>184</v>
      </c>
      <c r="R3" s="10" t="s">
        <v>12</v>
      </c>
      <c r="S3" s="12" t="s">
        <v>13</v>
      </c>
      <c r="T3" s="13" t="s">
        <v>178</v>
      </c>
      <c r="U3" s="13" t="s">
        <v>179</v>
      </c>
    </row>
    <row r="4" spans="1:21" ht="14.25">
      <c r="A4" s="48">
        <v>1</v>
      </c>
      <c r="B4" s="17" t="s">
        <v>57</v>
      </c>
      <c r="C4" s="18">
        <v>460</v>
      </c>
      <c r="D4" s="18">
        <v>412</v>
      </c>
      <c r="E4" s="18"/>
      <c r="F4" s="18"/>
      <c r="G4" s="18"/>
      <c r="H4" s="19"/>
      <c r="I4" s="19"/>
      <c r="J4" s="19"/>
      <c r="K4" s="19"/>
      <c r="L4" s="19"/>
      <c r="M4" s="19">
        <v>-30</v>
      </c>
      <c r="N4" s="39">
        <f aca="true" t="shared" si="0" ref="N4:N19">C4+D4+E4+F4+G4+H4+I4+J4+K4+L4+M4</f>
        <v>842</v>
      </c>
      <c r="O4" s="40">
        <v>19.091</v>
      </c>
      <c r="P4" s="39">
        <v>18.589</v>
      </c>
      <c r="Q4" s="40">
        <v>18</v>
      </c>
      <c r="R4" s="40">
        <v>15</v>
      </c>
      <c r="S4" s="40">
        <f aca="true" t="shared" si="1" ref="S4:S19">Q4+R4</f>
        <v>33</v>
      </c>
      <c r="T4" s="40">
        <f>N4/S4</f>
        <v>25.515151515151516</v>
      </c>
      <c r="U4" s="40">
        <f aca="true" t="shared" si="2" ref="U4:U19">O4+P4</f>
        <v>37.68</v>
      </c>
    </row>
    <row r="5" spans="1:21" ht="28.5">
      <c r="A5" s="48">
        <f>1+A4</f>
        <v>2</v>
      </c>
      <c r="B5" s="17" t="s">
        <v>191</v>
      </c>
      <c r="C5" s="18">
        <v>450</v>
      </c>
      <c r="D5" s="18">
        <v>327</v>
      </c>
      <c r="E5" s="18"/>
      <c r="F5" s="18">
        <v>20</v>
      </c>
      <c r="G5" s="18"/>
      <c r="H5" s="19"/>
      <c r="I5" s="19"/>
      <c r="J5" s="19"/>
      <c r="K5" s="19"/>
      <c r="L5" s="19"/>
      <c r="M5" s="19">
        <v>0</v>
      </c>
      <c r="N5" s="39">
        <f t="shared" si="0"/>
        <v>797</v>
      </c>
      <c r="O5" s="40">
        <v>38.112</v>
      </c>
      <c r="P5" s="39">
        <v>28.059</v>
      </c>
      <c r="Q5" s="40">
        <v>7</v>
      </c>
      <c r="R5" s="40">
        <v>8</v>
      </c>
      <c r="S5" s="40">
        <f t="shared" si="1"/>
        <v>15</v>
      </c>
      <c r="T5" s="40">
        <f aca="true" t="shared" si="3" ref="T5:T19">N5/S5</f>
        <v>53.13333333333333</v>
      </c>
      <c r="U5" s="40">
        <f t="shared" si="2"/>
        <v>66.171</v>
      </c>
    </row>
    <row r="6" spans="1:21" ht="14.25">
      <c r="A6" s="48">
        <f aca="true" t="shared" si="4" ref="A6:A19">1+A5</f>
        <v>3</v>
      </c>
      <c r="B6" s="17" t="s">
        <v>60</v>
      </c>
      <c r="C6" s="18">
        <v>376</v>
      </c>
      <c r="D6" s="18">
        <v>326</v>
      </c>
      <c r="E6" s="18">
        <v>10</v>
      </c>
      <c r="F6" s="18">
        <v>10</v>
      </c>
      <c r="G6" s="18"/>
      <c r="H6" s="19"/>
      <c r="I6" s="19"/>
      <c r="J6" s="19"/>
      <c r="K6" s="19"/>
      <c r="L6" s="19"/>
      <c r="M6" s="19">
        <v>0</v>
      </c>
      <c r="N6" s="39">
        <f t="shared" si="0"/>
        <v>722</v>
      </c>
      <c r="O6" s="40">
        <v>22.399</v>
      </c>
      <c r="P6" s="39">
        <v>17.692</v>
      </c>
      <c r="Q6" s="40">
        <v>14</v>
      </c>
      <c r="R6" s="40">
        <v>16.5</v>
      </c>
      <c r="S6" s="40">
        <f t="shared" si="1"/>
        <v>30.5</v>
      </c>
      <c r="T6" s="40">
        <f t="shared" si="3"/>
        <v>23.672131147540984</v>
      </c>
      <c r="U6" s="40">
        <f t="shared" si="2"/>
        <v>40.091</v>
      </c>
    </row>
    <row r="7" spans="1:21" ht="14.25">
      <c r="A7" s="48">
        <f t="shared" si="4"/>
        <v>4</v>
      </c>
      <c r="B7" s="17" t="s">
        <v>62</v>
      </c>
      <c r="C7" s="18">
        <v>252</v>
      </c>
      <c r="D7" s="18">
        <v>347</v>
      </c>
      <c r="E7" s="18">
        <v>140</v>
      </c>
      <c r="F7" s="18"/>
      <c r="G7" s="18"/>
      <c r="H7" s="19"/>
      <c r="I7" s="19"/>
      <c r="J7" s="19"/>
      <c r="K7" s="19"/>
      <c r="L7" s="19"/>
      <c r="M7" s="19">
        <v>-30</v>
      </c>
      <c r="N7" s="39">
        <f t="shared" si="0"/>
        <v>709</v>
      </c>
      <c r="O7" s="40">
        <v>18.037</v>
      </c>
      <c r="P7" s="39">
        <v>20.154</v>
      </c>
      <c r="Q7" s="40">
        <v>20</v>
      </c>
      <c r="R7" s="40">
        <v>14.5</v>
      </c>
      <c r="S7" s="40">
        <f t="shared" si="1"/>
        <v>34.5</v>
      </c>
      <c r="T7" s="40">
        <f t="shared" si="3"/>
        <v>20.55072463768116</v>
      </c>
      <c r="U7" s="40">
        <f t="shared" si="2"/>
        <v>38.191</v>
      </c>
    </row>
    <row r="8" spans="1:21" ht="14.25">
      <c r="A8" s="48">
        <f t="shared" si="4"/>
        <v>5</v>
      </c>
      <c r="B8" s="17" t="s">
        <v>64</v>
      </c>
      <c r="C8" s="18">
        <v>101</v>
      </c>
      <c r="D8" s="18">
        <v>368</v>
      </c>
      <c r="E8" s="18">
        <v>10</v>
      </c>
      <c r="F8" s="18">
        <v>50</v>
      </c>
      <c r="G8" s="18"/>
      <c r="H8" s="19"/>
      <c r="I8" s="19"/>
      <c r="J8" s="19"/>
      <c r="K8" s="19"/>
      <c r="L8" s="19"/>
      <c r="M8" s="19">
        <v>0</v>
      </c>
      <c r="N8" s="39">
        <f t="shared" si="0"/>
        <v>529</v>
      </c>
      <c r="O8" s="40">
        <v>3.655</v>
      </c>
      <c r="P8" s="39">
        <v>22.515</v>
      </c>
      <c r="Q8" s="40">
        <v>11</v>
      </c>
      <c r="R8" s="40">
        <v>15</v>
      </c>
      <c r="S8" s="40">
        <f t="shared" si="1"/>
        <v>26</v>
      </c>
      <c r="T8" s="40">
        <f t="shared" si="3"/>
        <v>20.346153846153847</v>
      </c>
      <c r="U8" s="40">
        <f t="shared" si="2"/>
        <v>26.17</v>
      </c>
    </row>
    <row r="9" spans="1:21" ht="14.25">
      <c r="A9" s="48">
        <f t="shared" si="4"/>
        <v>6</v>
      </c>
      <c r="B9" s="17" t="s">
        <v>66</v>
      </c>
      <c r="C9" s="18">
        <v>297</v>
      </c>
      <c r="D9" s="18">
        <v>175</v>
      </c>
      <c r="E9" s="18"/>
      <c r="F9" s="18"/>
      <c r="G9" s="18"/>
      <c r="H9" s="19"/>
      <c r="I9" s="19"/>
      <c r="J9" s="19">
        <v>12</v>
      </c>
      <c r="K9" s="19">
        <v>26.4</v>
      </c>
      <c r="L9" s="19"/>
      <c r="M9" s="19">
        <v>0</v>
      </c>
      <c r="N9" s="39">
        <f t="shared" si="0"/>
        <v>510.4</v>
      </c>
      <c r="O9" s="40">
        <v>15.006</v>
      </c>
      <c r="P9" s="39">
        <v>14.039</v>
      </c>
      <c r="Q9" s="40">
        <v>5</v>
      </c>
      <c r="R9" s="40">
        <v>5</v>
      </c>
      <c r="S9" s="40">
        <f t="shared" si="1"/>
        <v>10</v>
      </c>
      <c r="T9" s="40">
        <f t="shared" si="3"/>
        <v>51.04</v>
      </c>
      <c r="U9" s="40">
        <f t="shared" si="2"/>
        <v>29.045</v>
      </c>
    </row>
    <row r="10" spans="1:21" ht="14.25">
      <c r="A10" s="48">
        <f t="shared" si="4"/>
        <v>7</v>
      </c>
      <c r="B10" s="17" t="s">
        <v>68</v>
      </c>
      <c r="C10" s="18">
        <v>232</v>
      </c>
      <c r="D10" s="18">
        <v>226</v>
      </c>
      <c r="E10" s="18">
        <v>10</v>
      </c>
      <c r="F10" s="18"/>
      <c r="G10" s="18"/>
      <c r="H10" s="19"/>
      <c r="I10" s="19"/>
      <c r="J10" s="19"/>
      <c r="K10" s="19"/>
      <c r="L10" s="19"/>
      <c r="M10" s="19">
        <v>0</v>
      </c>
      <c r="N10" s="39">
        <f t="shared" si="0"/>
        <v>468</v>
      </c>
      <c r="O10" s="40">
        <v>13.097</v>
      </c>
      <c r="P10" s="39">
        <v>13.615</v>
      </c>
      <c r="Q10" s="40">
        <v>8</v>
      </c>
      <c r="R10" s="40">
        <v>9.5</v>
      </c>
      <c r="S10" s="40">
        <f t="shared" si="1"/>
        <v>17.5</v>
      </c>
      <c r="T10" s="40">
        <f t="shared" si="3"/>
        <v>26.742857142857144</v>
      </c>
      <c r="U10" s="40">
        <f t="shared" si="2"/>
        <v>26.712</v>
      </c>
    </row>
    <row r="11" spans="1:21" ht="14.25">
      <c r="A11" s="48">
        <f t="shared" si="4"/>
        <v>8</v>
      </c>
      <c r="B11" s="17" t="s">
        <v>70</v>
      </c>
      <c r="C11" s="18">
        <v>162</v>
      </c>
      <c r="D11" s="18">
        <v>190</v>
      </c>
      <c r="E11" s="18"/>
      <c r="F11" s="18"/>
      <c r="G11" s="18"/>
      <c r="H11" s="19"/>
      <c r="I11" s="19"/>
      <c r="J11" s="19"/>
      <c r="K11" s="19"/>
      <c r="L11" s="19"/>
      <c r="M11" s="19">
        <v>0</v>
      </c>
      <c r="N11" s="39">
        <f t="shared" si="0"/>
        <v>352</v>
      </c>
      <c r="O11" s="40">
        <v>3.072</v>
      </c>
      <c r="P11" s="39">
        <v>8.91</v>
      </c>
      <c r="Q11" s="40">
        <v>4</v>
      </c>
      <c r="R11" s="40">
        <v>4</v>
      </c>
      <c r="S11" s="40">
        <f t="shared" si="1"/>
        <v>8</v>
      </c>
      <c r="T11" s="40">
        <f t="shared" si="3"/>
        <v>44</v>
      </c>
      <c r="U11" s="40">
        <f t="shared" si="2"/>
        <v>11.982</v>
      </c>
    </row>
    <row r="12" spans="1:21" ht="14.25">
      <c r="A12" s="48">
        <f t="shared" si="4"/>
        <v>9</v>
      </c>
      <c r="B12" s="17" t="s">
        <v>72</v>
      </c>
      <c r="C12" s="18">
        <v>148</v>
      </c>
      <c r="D12" s="18">
        <v>141</v>
      </c>
      <c r="E12" s="18"/>
      <c r="F12" s="18"/>
      <c r="G12" s="18"/>
      <c r="H12" s="19"/>
      <c r="I12" s="19"/>
      <c r="J12" s="19"/>
      <c r="K12" s="19"/>
      <c r="L12" s="19"/>
      <c r="M12" s="19">
        <v>-30</v>
      </c>
      <c r="N12" s="39">
        <f t="shared" si="0"/>
        <v>259</v>
      </c>
      <c r="O12" s="40">
        <v>13.572</v>
      </c>
      <c r="P12" s="39">
        <v>6.452</v>
      </c>
      <c r="Q12" s="40">
        <v>4</v>
      </c>
      <c r="R12" s="40">
        <v>3.5</v>
      </c>
      <c r="S12" s="40">
        <f t="shared" si="1"/>
        <v>7.5</v>
      </c>
      <c r="T12" s="40">
        <f t="shared" si="3"/>
        <v>34.53333333333333</v>
      </c>
      <c r="U12" s="40">
        <f t="shared" si="2"/>
        <v>20.024</v>
      </c>
    </row>
    <row r="13" spans="1:21" ht="14.25">
      <c r="A13" s="48">
        <f t="shared" si="4"/>
        <v>10</v>
      </c>
      <c r="B13" s="17" t="s">
        <v>74</v>
      </c>
      <c r="C13" s="18">
        <v>116</v>
      </c>
      <c r="D13" s="18">
        <v>75</v>
      </c>
      <c r="E13" s="18">
        <v>30</v>
      </c>
      <c r="F13" s="18"/>
      <c r="G13" s="18"/>
      <c r="H13" s="19"/>
      <c r="I13" s="19"/>
      <c r="J13" s="19"/>
      <c r="K13" s="19"/>
      <c r="L13" s="19"/>
      <c r="M13" s="19">
        <v>0</v>
      </c>
      <c r="N13" s="39">
        <f t="shared" si="0"/>
        <v>221</v>
      </c>
      <c r="O13" s="40">
        <v>2.374</v>
      </c>
      <c r="P13" s="39">
        <v>1.179</v>
      </c>
      <c r="Q13" s="40">
        <v>2.5</v>
      </c>
      <c r="R13" s="40">
        <v>2</v>
      </c>
      <c r="S13" s="40">
        <f t="shared" si="1"/>
        <v>4.5</v>
      </c>
      <c r="T13" s="40">
        <f t="shared" si="3"/>
        <v>49.111111111111114</v>
      </c>
      <c r="U13" s="40">
        <f t="shared" si="2"/>
        <v>3.553</v>
      </c>
    </row>
    <row r="14" spans="1:21" ht="14.25">
      <c r="A14" s="48">
        <f t="shared" si="4"/>
        <v>11</v>
      </c>
      <c r="B14" s="17" t="s">
        <v>180</v>
      </c>
      <c r="C14" s="18">
        <v>38</v>
      </c>
      <c r="D14" s="18">
        <v>85</v>
      </c>
      <c r="E14" s="18"/>
      <c r="F14" s="18"/>
      <c r="G14" s="18">
        <v>30</v>
      </c>
      <c r="H14" s="19">
        <v>60</v>
      </c>
      <c r="I14" s="19"/>
      <c r="J14" s="19"/>
      <c r="K14" s="19"/>
      <c r="L14" s="19"/>
      <c r="M14" s="19">
        <v>0</v>
      </c>
      <c r="N14" s="39">
        <f t="shared" si="0"/>
        <v>213</v>
      </c>
      <c r="O14" s="40">
        <v>4.521</v>
      </c>
      <c r="P14" s="39">
        <v>5.424</v>
      </c>
      <c r="Q14" s="40">
        <v>2</v>
      </c>
      <c r="R14" s="40">
        <v>3</v>
      </c>
      <c r="S14" s="40">
        <f t="shared" si="1"/>
        <v>5</v>
      </c>
      <c r="T14" s="40">
        <f t="shared" si="3"/>
        <v>42.6</v>
      </c>
      <c r="U14" s="40">
        <f t="shared" si="2"/>
        <v>9.945</v>
      </c>
    </row>
    <row r="15" spans="1:21" ht="14.25">
      <c r="A15" s="48">
        <f t="shared" si="4"/>
        <v>12</v>
      </c>
      <c r="B15" s="17" t="s">
        <v>76</v>
      </c>
      <c r="C15" s="18">
        <v>40</v>
      </c>
      <c r="D15" s="18">
        <v>11</v>
      </c>
      <c r="E15" s="18">
        <v>10</v>
      </c>
      <c r="F15" s="18">
        <v>10</v>
      </c>
      <c r="G15" s="18">
        <v>15</v>
      </c>
      <c r="H15" s="19">
        <v>40</v>
      </c>
      <c r="I15" s="19"/>
      <c r="J15" s="19"/>
      <c r="K15" s="19"/>
      <c r="L15" s="19"/>
      <c r="M15" s="19">
        <v>0</v>
      </c>
      <c r="N15" s="39">
        <f t="shared" si="0"/>
        <v>126</v>
      </c>
      <c r="O15" s="40">
        <v>3.376</v>
      </c>
      <c r="P15" s="39">
        <v>0</v>
      </c>
      <c r="Q15" s="40">
        <v>2</v>
      </c>
      <c r="R15" s="40">
        <v>2</v>
      </c>
      <c r="S15" s="40">
        <f t="shared" si="1"/>
        <v>4</v>
      </c>
      <c r="T15" s="40">
        <f t="shared" si="3"/>
        <v>31.5</v>
      </c>
      <c r="U15" s="40">
        <f t="shared" si="2"/>
        <v>3.376</v>
      </c>
    </row>
    <row r="16" spans="1:21" ht="14.25">
      <c r="A16" s="48">
        <f t="shared" si="4"/>
        <v>13</v>
      </c>
      <c r="B16" s="17" t="s">
        <v>77</v>
      </c>
      <c r="C16" s="18">
        <v>76</v>
      </c>
      <c r="D16" s="18">
        <v>36</v>
      </c>
      <c r="E16" s="18"/>
      <c r="F16" s="18">
        <v>10</v>
      </c>
      <c r="G16" s="18"/>
      <c r="H16" s="19"/>
      <c r="I16" s="19"/>
      <c r="J16" s="19"/>
      <c r="K16" s="19"/>
      <c r="L16" s="19"/>
      <c r="M16" s="19">
        <v>0</v>
      </c>
      <c r="N16" s="39">
        <f t="shared" si="0"/>
        <v>122</v>
      </c>
      <c r="O16" s="40">
        <v>7.369</v>
      </c>
      <c r="P16" s="39">
        <v>2.358</v>
      </c>
      <c r="Q16" s="40">
        <v>2</v>
      </c>
      <c r="R16" s="40">
        <v>2</v>
      </c>
      <c r="S16" s="40">
        <f t="shared" si="1"/>
        <v>4</v>
      </c>
      <c r="T16" s="40">
        <f t="shared" si="3"/>
        <v>30.5</v>
      </c>
      <c r="U16" s="40">
        <f t="shared" si="2"/>
        <v>9.727</v>
      </c>
    </row>
    <row r="17" spans="1:21" ht="28.5">
      <c r="A17" s="48">
        <f t="shared" si="4"/>
        <v>14</v>
      </c>
      <c r="B17" s="17" t="s">
        <v>192</v>
      </c>
      <c r="C17" s="18">
        <v>49</v>
      </c>
      <c r="D17" s="18">
        <v>20</v>
      </c>
      <c r="E17" s="18"/>
      <c r="F17" s="18"/>
      <c r="G17" s="18"/>
      <c r="H17" s="19"/>
      <c r="I17" s="19"/>
      <c r="J17" s="19"/>
      <c r="K17" s="19"/>
      <c r="L17" s="19"/>
      <c r="M17" s="19">
        <v>0</v>
      </c>
      <c r="N17" s="39">
        <f t="shared" si="0"/>
        <v>69</v>
      </c>
      <c r="O17" s="40">
        <v>2.964</v>
      </c>
      <c r="P17" s="39">
        <v>1.937</v>
      </c>
      <c r="Q17" s="40">
        <v>3</v>
      </c>
      <c r="R17" s="40">
        <v>4</v>
      </c>
      <c r="S17" s="40">
        <f t="shared" si="1"/>
        <v>7</v>
      </c>
      <c r="T17" s="40">
        <f t="shared" si="3"/>
        <v>9.857142857142858</v>
      </c>
      <c r="U17" s="40">
        <f t="shared" si="2"/>
        <v>4.901</v>
      </c>
    </row>
    <row r="18" spans="1:21" ht="14.25">
      <c r="A18" s="48">
        <f t="shared" si="4"/>
        <v>15</v>
      </c>
      <c r="B18" s="17" t="s">
        <v>80</v>
      </c>
      <c r="C18" s="17"/>
      <c r="D18" s="18">
        <v>11</v>
      </c>
      <c r="E18" s="18"/>
      <c r="F18" s="18">
        <v>50</v>
      </c>
      <c r="G18" s="18"/>
      <c r="H18" s="19"/>
      <c r="I18" s="19"/>
      <c r="J18" s="19"/>
      <c r="K18" s="19"/>
      <c r="L18" s="19"/>
      <c r="M18" s="19">
        <v>0</v>
      </c>
      <c r="N18" s="39">
        <f t="shared" si="0"/>
        <v>61</v>
      </c>
      <c r="O18" s="40"/>
      <c r="P18" s="39">
        <v>0</v>
      </c>
      <c r="Q18" s="40">
        <v>0</v>
      </c>
      <c r="R18" s="40">
        <v>4</v>
      </c>
      <c r="S18" s="40">
        <f t="shared" si="1"/>
        <v>4</v>
      </c>
      <c r="T18" s="40">
        <f t="shared" si="3"/>
        <v>15.25</v>
      </c>
      <c r="U18" s="40">
        <f t="shared" si="2"/>
        <v>0</v>
      </c>
    </row>
    <row r="19" spans="1:21" ht="14.25">
      <c r="A19" s="48">
        <f t="shared" si="4"/>
        <v>16</v>
      </c>
      <c r="B19" s="17" t="s">
        <v>82</v>
      </c>
      <c r="C19" s="17"/>
      <c r="D19" s="18">
        <v>46</v>
      </c>
      <c r="E19" s="18"/>
      <c r="F19" s="18"/>
      <c r="G19" s="18"/>
      <c r="H19" s="19"/>
      <c r="I19" s="19"/>
      <c r="J19" s="19"/>
      <c r="K19" s="19"/>
      <c r="L19" s="19"/>
      <c r="M19" s="19">
        <v>0</v>
      </c>
      <c r="N19" s="39">
        <f t="shared" si="0"/>
        <v>46</v>
      </c>
      <c r="O19" s="40"/>
      <c r="P19" s="39">
        <v>5.205</v>
      </c>
      <c r="Q19" s="40">
        <v>0</v>
      </c>
      <c r="R19" s="40">
        <v>5</v>
      </c>
      <c r="S19" s="40">
        <f t="shared" si="1"/>
        <v>5</v>
      </c>
      <c r="T19" s="40">
        <f t="shared" si="3"/>
        <v>9.2</v>
      </c>
      <c r="U19" s="40">
        <f t="shared" si="2"/>
        <v>5.205</v>
      </c>
    </row>
    <row r="20" spans="1:21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8">
        <f>SUM(N4:N19)</f>
        <v>6046.4</v>
      </c>
      <c r="O20" s="78"/>
      <c r="P20" s="78"/>
      <c r="Q20" s="78"/>
      <c r="R20" s="78"/>
      <c r="S20" s="78">
        <f>SUM(S4:S19)</f>
        <v>215.5</v>
      </c>
      <c r="T20" s="78"/>
      <c r="U20" s="59"/>
    </row>
    <row r="22" ht="13.5">
      <c r="B22" s="3" t="s">
        <v>83</v>
      </c>
    </row>
  </sheetData>
  <sheetProtection/>
  <mergeCells count="1">
    <mergeCell ref="A2:U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B2" sqref="B2:U3"/>
    </sheetView>
  </sheetViews>
  <sheetFormatPr defaultColWidth="9.00390625" defaultRowHeight="12.75"/>
  <cols>
    <col min="1" max="1" width="5.25390625" style="20" customWidth="1"/>
    <col min="2" max="2" width="47.75390625" style="20" customWidth="1"/>
    <col min="3" max="13" width="0" style="20" hidden="1" customWidth="1"/>
    <col min="14" max="14" width="16.25390625" style="20" customWidth="1"/>
    <col min="15" max="16" width="0" style="20" hidden="1" customWidth="1"/>
    <col min="17" max="17" width="13.875" style="20" customWidth="1"/>
    <col min="18" max="19" width="0" style="20" hidden="1" customWidth="1"/>
    <col min="20" max="20" width="14.625" style="20" customWidth="1"/>
    <col min="21" max="21" width="15.375" style="20" customWidth="1"/>
    <col min="22" max="16384" width="9.00390625" style="20" customWidth="1"/>
  </cols>
  <sheetData>
    <row r="1" spans="1:21" ht="36" customHeight="1">
      <c r="A1" s="98" t="s">
        <v>188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4.25" customHeight="1">
      <c r="A2" s="101" t="s">
        <v>0</v>
      </c>
      <c r="B2" s="96" t="s">
        <v>55</v>
      </c>
      <c r="C2" s="96" t="s">
        <v>2</v>
      </c>
      <c r="D2" s="96" t="s">
        <v>1</v>
      </c>
      <c r="E2" s="96" t="s">
        <v>84</v>
      </c>
      <c r="F2" s="96" t="s">
        <v>85</v>
      </c>
      <c r="G2" s="96" t="s">
        <v>5</v>
      </c>
      <c r="H2" s="96" t="s">
        <v>6</v>
      </c>
      <c r="I2" s="96" t="s">
        <v>7</v>
      </c>
      <c r="J2" s="96" t="s">
        <v>8</v>
      </c>
      <c r="K2" s="96" t="s">
        <v>9</v>
      </c>
      <c r="L2" s="96" t="s">
        <v>10</v>
      </c>
      <c r="M2" s="96" t="s">
        <v>86</v>
      </c>
      <c r="N2" s="96" t="s">
        <v>53</v>
      </c>
      <c r="O2" s="96" t="s">
        <v>87</v>
      </c>
      <c r="P2" s="96" t="s">
        <v>88</v>
      </c>
      <c r="Q2" s="96" t="s">
        <v>184</v>
      </c>
      <c r="R2" s="96" t="s">
        <v>12</v>
      </c>
      <c r="S2" s="96" t="s">
        <v>13</v>
      </c>
      <c r="T2" s="96" t="s">
        <v>178</v>
      </c>
      <c r="U2" s="96" t="s">
        <v>179</v>
      </c>
    </row>
    <row r="3" spans="1:21" ht="76.5" customHeight="1">
      <c r="A3" s="102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4.25">
      <c r="A4" s="54">
        <v>1</v>
      </c>
      <c r="B4" s="49" t="s">
        <v>89</v>
      </c>
      <c r="C4" s="50">
        <v>1430</v>
      </c>
      <c r="D4" s="50">
        <v>1852</v>
      </c>
      <c r="E4" s="50">
        <v>20</v>
      </c>
      <c r="F4" s="50">
        <v>210</v>
      </c>
      <c r="G4" s="50"/>
      <c r="H4" s="50"/>
      <c r="I4" s="50"/>
      <c r="J4" s="50"/>
      <c r="K4" s="50"/>
      <c r="L4" s="50"/>
      <c r="M4" s="50">
        <v>0</v>
      </c>
      <c r="N4" s="55">
        <f aca="true" t="shared" si="0" ref="N4:N34">C4+D4+E4+F4+G4+H4+I4+J4+K4+L4+M4</f>
        <v>3512</v>
      </c>
      <c r="O4" s="55">
        <v>18</v>
      </c>
      <c r="P4" s="56">
        <v>18.5</v>
      </c>
      <c r="Q4" s="56">
        <f aca="true" t="shared" si="1" ref="Q4:Q34">O4+P4</f>
        <v>36.5</v>
      </c>
      <c r="R4" s="55">
        <v>145.638</v>
      </c>
      <c r="S4" s="55">
        <v>214.129</v>
      </c>
      <c r="T4" s="55">
        <f aca="true" t="shared" si="2" ref="T4:T34">N4/Q4</f>
        <v>96.21917808219177</v>
      </c>
      <c r="U4" s="55">
        <f>SUM(R4:S4)</f>
        <v>359.767</v>
      </c>
    </row>
    <row r="5" spans="1:21" ht="14.25">
      <c r="A5" s="54">
        <f>A4+1</f>
        <v>2</v>
      </c>
      <c r="B5" s="49" t="s">
        <v>90</v>
      </c>
      <c r="C5" s="50">
        <v>1099</v>
      </c>
      <c r="D5" s="50">
        <v>1160</v>
      </c>
      <c r="E5" s="50">
        <v>45</v>
      </c>
      <c r="F5" s="50">
        <v>30</v>
      </c>
      <c r="G5" s="50"/>
      <c r="H5" s="50"/>
      <c r="I5" s="50"/>
      <c r="J5" s="50"/>
      <c r="K5" s="50">
        <v>90.9</v>
      </c>
      <c r="L5" s="50">
        <v>48.36</v>
      </c>
      <c r="M5" s="50">
        <v>-30</v>
      </c>
      <c r="N5" s="55">
        <f t="shared" si="0"/>
        <v>2443.26</v>
      </c>
      <c r="O5" s="55">
        <v>18</v>
      </c>
      <c r="P5" s="56">
        <v>18</v>
      </c>
      <c r="Q5" s="56">
        <f t="shared" si="1"/>
        <v>36</v>
      </c>
      <c r="R5" s="55">
        <v>81.543</v>
      </c>
      <c r="S5" s="55">
        <v>118.522</v>
      </c>
      <c r="T5" s="55">
        <f t="shared" si="2"/>
        <v>67.86833333333334</v>
      </c>
      <c r="U5" s="55">
        <f>SUM(R5:S5)</f>
        <v>200.065</v>
      </c>
    </row>
    <row r="6" spans="1:21" ht="28.5">
      <c r="A6" s="54">
        <f aca="true" t="shared" si="3" ref="A6:A34">A5+1</f>
        <v>3</v>
      </c>
      <c r="B6" s="49" t="s">
        <v>91</v>
      </c>
      <c r="C6" s="50">
        <v>992</v>
      </c>
      <c r="D6" s="50">
        <v>758</v>
      </c>
      <c r="E6" s="50"/>
      <c r="F6" s="50">
        <v>10</v>
      </c>
      <c r="G6" s="50"/>
      <c r="H6" s="50"/>
      <c r="I6" s="50"/>
      <c r="J6" s="50"/>
      <c r="K6" s="50"/>
      <c r="L6" s="50"/>
      <c r="M6" s="50">
        <v>0</v>
      </c>
      <c r="N6" s="55">
        <f t="shared" si="0"/>
        <v>1760</v>
      </c>
      <c r="O6" s="55">
        <v>15</v>
      </c>
      <c r="P6" s="56">
        <v>16</v>
      </c>
      <c r="Q6" s="56">
        <f t="shared" si="1"/>
        <v>31</v>
      </c>
      <c r="R6" s="55" t="s">
        <v>92</v>
      </c>
      <c r="S6" s="55">
        <v>93.245</v>
      </c>
      <c r="T6" s="55">
        <f t="shared" si="2"/>
        <v>56.774193548387096</v>
      </c>
      <c r="U6" s="55">
        <v>241.437</v>
      </c>
    </row>
    <row r="7" spans="1:21" ht="28.5">
      <c r="A7" s="54">
        <f t="shared" si="3"/>
        <v>4</v>
      </c>
      <c r="B7" s="49" t="s">
        <v>93</v>
      </c>
      <c r="C7" s="50">
        <v>928</v>
      </c>
      <c r="D7" s="50">
        <v>409</v>
      </c>
      <c r="E7" s="50"/>
      <c r="F7" s="50">
        <v>55</v>
      </c>
      <c r="G7" s="50"/>
      <c r="H7" s="50"/>
      <c r="I7" s="50"/>
      <c r="J7" s="50"/>
      <c r="K7" s="50">
        <v>10.32</v>
      </c>
      <c r="L7" s="50"/>
      <c r="M7" s="50">
        <v>0</v>
      </c>
      <c r="N7" s="55">
        <f t="shared" si="0"/>
        <v>1402.32</v>
      </c>
      <c r="O7" s="55">
        <v>16</v>
      </c>
      <c r="P7" s="56">
        <v>15</v>
      </c>
      <c r="Q7" s="56">
        <f t="shared" si="1"/>
        <v>31</v>
      </c>
      <c r="R7" s="55" t="s">
        <v>181</v>
      </c>
      <c r="S7" s="55" t="s">
        <v>94</v>
      </c>
      <c r="T7" s="55">
        <f t="shared" si="2"/>
        <v>45.23612903225806</v>
      </c>
      <c r="U7" s="55">
        <v>100.952</v>
      </c>
    </row>
    <row r="8" spans="1:21" ht="28.5">
      <c r="A8" s="54">
        <f t="shared" si="3"/>
        <v>5</v>
      </c>
      <c r="B8" s="49" t="s">
        <v>95</v>
      </c>
      <c r="C8" s="50">
        <v>691</v>
      </c>
      <c r="D8" s="50">
        <v>513</v>
      </c>
      <c r="E8" s="50"/>
      <c r="F8" s="50"/>
      <c r="G8" s="50"/>
      <c r="H8" s="50"/>
      <c r="I8" s="50"/>
      <c r="J8" s="50"/>
      <c r="K8" s="50">
        <v>88.86</v>
      </c>
      <c r="L8" s="50">
        <v>87.12</v>
      </c>
      <c r="M8" s="50">
        <v>0</v>
      </c>
      <c r="N8" s="55">
        <f t="shared" si="0"/>
        <v>1379.98</v>
      </c>
      <c r="O8" s="55">
        <v>17</v>
      </c>
      <c r="P8" s="56">
        <v>18.5</v>
      </c>
      <c r="Q8" s="56">
        <f t="shared" si="1"/>
        <v>35.5</v>
      </c>
      <c r="R8" s="55">
        <v>92.355</v>
      </c>
      <c r="S8" s="55">
        <v>68.882</v>
      </c>
      <c r="T8" s="55">
        <f t="shared" si="2"/>
        <v>38.87267605633803</v>
      </c>
      <c r="U8" s="55">
        <f>SUM(R8:S8)</f>
        <v>161.23700000000002</v>
      </c>
    </row>
    <row r="9" spans="1:21" ht="28.5">
      <c r="A9" s="54">
        <f t="shared" si="3"/>
        <v>6</v>
      </c>
      <c r="B9" s="49" t="s">
        <v>96</v>
      </c>
      <c r="C9" s="50">
        <v>568</v>
      </c>
      <c r="D9" s="50">
        <v>617</v>
      </c>
      <c r="E9" s="50">
        <v>20</v>
      </c>
      <c r="F9" s="50">
        <v>10</v>
      </c>
      <c r="G9" s="50"/>
      <c r="H9" s="50"/>
      <c r="I9" s="50"/>
      <c r="J9" s="50"/>
      <c r="K9" s="50"/>
      <c r="L9" s="50"/>
      <c r="M9" s="50">
        <v>0</v>
      </c>
      <c r="N9" s="55">
        <f t="shared" si="0"/>
        <v>1215</v>
      </c>
      <c r="O9" s="55">
        <v>16</v>
      </c>
      <c r="P9" s="56">
        <v>17</v>
      </c>
      <c r="Q9" s="56">
        <f t="shared" si="1"/>
        <v>33</v>
      </c>
      <c r="R9" s="55" t="s">
        <v>97</v>
      </c>
      <c r="S9" s="55" t="s">
        <v>98</v>
      </c>
      <c r="T9" s="55">
        <f t="shared" si="2"/>
        <v>36.81818181818182</v>
      </c>
      <c r="U9" s="55">
        <v>80.866</v>
      </c>
    </row>
    <row r="10" spans="1:21" ht="14.25">
      <c r="A10" s="54">
        <f t="shared" si="3"/>
        <v>7</v>
      </c>
      <c r="B10" s="49" t="s">
        <v>99</v>
      </c>
      <c r="C10" s="50">
        <v>664</v>
      </c>
      <c r="D10" s="50">
        <v>525</v>
      </c>
      <c r="E10" s="50">
        <v>30</v>
      </c>
      <c r="F10" s="50">
        <v>20</v>
      </c>
      <c r="G10" s="50"/>
      <c r="H10" s="50"/>
      <c r="I10" s="50"/>
      <c r="J10" s="50"/>
      <c r="K10" s="50">
        <v>7.92</v>
      </c>
      <c r="L10" s="50">
        <v>1.92</v>
      </c>
      <c r="M10" s="50">
        <v>-60</v>
      </c>
      <c r="N10" s="55">
        <f t="shared" si="0"/>
        <v>1188.8400000000001</v>
      </c>
      <c r="O10" s="55">
        <v>15</v>
      </c>
      <c r="P10" s="56">
        <v>17</v>
      </c>
      <c r="Q10" s="56">
        <f t="shared" si="1"/>
        <v>32</v>
      </c>
      <c r="R10" s="55">
        <v>46.675</v>
      </c>
      <c r="S10" s="55">
        <v>34.545</v>
      </c>
      <c r="T10" s="55">
        <f t="shared" si="2"/>
        <v>37.151250000000005</v>
      </c>
      <c r="U10" s="55">
        <f>SUM(R10:S10)</f>
        <v>81.22</v>
      </c>
    </row>
    <row r="11" spans="1:21" ht="28.5">
      <c r="A11" s="54">
        <f t="shared" si="3"/>
        <v>8</v>
      </c>
      <c r="B11" s="49" t="s">
        <v>100</v>
      </c>
      <c r="C11" s="50">
        <v>548</v>
      </c>
      <c r="D11" s="50">
        <v>293</v>
      </c>
      <c r="E11" s="50">
        <v>55</v>
      </c>
      <c r="F11" s="50">
        <v>40</v>
      </c>
      <c r="G11" s="50">
        <v>30</v>
      </c>
      <c r="H11" s="50"/>
      <c r="I11" s="50"/>
      <c r="J11" s="50"/>
      <c r="K11" s="50">
        <v>69.42</v>
      </c>
      <c r="L11" s="50">
        <v>16.44</v>
      </c>
      <c r="M11" s="50">
        <v>0</v>
      </c>
      <c r="N11" s="55">
        <f t="shared" si="0"/>
        <v>1051.8600000000001</v>
      </c>
      <c r="O11" s="55">
        <v>11</v>
      </c>
      <c r="P11" s="56">
        <v>12</v>
      </c>
      <c r="Q11" s="56">
        <f t="shared" si="1"/>
        <v>23</v>
      </c>
      <c r="R11" s="55" t="s">
        <v>101</v>
      </c>
      <c r="S11" s="55">
        <v>28.796</v>
      </c>
      <c r="T11" s="55">
        <f t="shared" si="2"/>
        <v>45.733043478260875</v>
      </c>
      <c r="U11" s="55">
        <v>113.296</v>
      </c>
    </row>
    <row r="12" spans="1:21" ht="14.25">
      <c r="A12" s="54">
        <f t="shared" si="3"/>
        <v>9</v>
      </c>
      <c r="B12" s="49" t="s">
        <v>102</v>
      </c>
      <c r="C12" s="50">
        <v>377</v>
      </c>
      <c r="D12" s="50">
        <v>489</v>
      </c>
      <c r="E12" s="50">
        <v>45</v>
      </c>
      <c r="F12" s="50">
        <v>20</v>
      </c>
      <c r="G12" s="50"/>
      <c r="H12" s="50"/>
      <c r="I12" s="50"/>
      <c r="J12" s="50"/>
      <c r="K12" s="50">
        <v>40.32</v>
      </c>
      <c r="L12" s="50">
        <v>36</v>
      </c>
      <c r="M12" s="50">
        <v>0</v>
      </c>
      <c r="N12" s="55">
        <f t="shared" si="0"/>
        <v>1007.32</v>
      </c>
      <c r="O12" s="55">
        <v>7</v>
      </c>
      <c r="P12" s="56">
        <v>9.5</v>
      </c>
      <c r="Q12" s="56">
        <f t="shared" si="1"/>
        <v>16.5</v>
      </c>
      <c r="R12" s="55">
        <v>13.391</v>
      </c>
      <c r="S12" s="55">
        <v>14.175</v>
      </c>
      <c r="T12" s="55">
        <f t="shared" si="2"/>
        <v>61.049696969696974</v>
      </c>
      <c r="U12" s="55">
        <f>SUM(R12:S12)</f>
        <v>27.566000000000003</v>
      </c>
    </row>
    <row r="13" spans="1:21" ht="14.25">
      <c r="A13" s="54">
        <f t="shared" si="3"/>
        <v>10</v>
      </c>
      <c r="B13" s="49" t="s">
        <v>103</v>
      </c>
      <c r="C13" s="50">
        <v>395</v>
      </c>
      <c r="D13" s="50">
        <v>345</v>
      </c>
      <c r="E13" s="50">
        <v>30</v>
      </c>
      <c r="F13" s="50">
        <v>55</v>
      </c>
      <c r="G13" s="50"/>
      <c r="H13" s="50"/>
      <c r="I13" s="50"/>
      <c r="J13" s="50"/>
      <c r="K13" s="50">
        <v>11.88</v>
      </c>
      <c r="L13" s="50">
        <v>13.68</v>
      </c>
      <c r="M13" s="50">
        <v>0</v>
      </c>
      <c r="N13" s="55">
        <f t="shared" si="0"/>
        <v>850.56</v>
      </c>
      <c r="O13" s="55">
        <v>10</v>
      </c>
      <c r="P13" s="56">
        <v>10</v>
      </c>
      <c r="Q13" s="56">
        <f t="shared" si="1"/>
        <v>20</v>
      </c>
      <c r="R13" s="55">
        <v>19.849</v>
      </c>
      <c r="S13" s="55">
        <v>46.306</v>
      </c>
      <c r="T13" s="55">
        <f t="shared" si="2"/>
        <v>42.528</v>
      </c>
      <c r="U13" s="55">
        <f>SUM(R13:S13)</f>
        <v>66.155</v>
      </c>
    </row>
    <row r="14" spans="1:21" ht="28.5">
      <c r="A14" s="54">
        <f t="shared" si="3"/>
        <v>11</v>
      </c>
      <c r="B14" s="49" t="s">
        <v>104</v>
      </c>
      <c r="C14" s="50">
        <v>347</v>
      </c>
      <c r="D14" s="50">
        <v>448</v>
      </c>
      <c r="E14" s="50"/>
      <c r="F14" s="50"/>
      <c r="G14" s="50"/>
      <c r="H14" s="50"/>
      <c r="I14" s="50"/>
      <c r="J14" s="50"/>
      <c r="K14" s="50"/>
      <c r="L14" s="50"/>
      <c r="M14" s="50">
        <v>0</v>
      </c>
      <c r="N14" s="55">
        <f t="shared" si="0"/>
        <v>795</v>
      </c>
      <c r="O14" s="55">
        <v>14</v>
      </c>
      <c r="P14" s="56">
        <v>18</v>
      </c>
      <c r="Q14" s="56">
        <f t="shared" si="1"/>
        <v>32</v>
      </c>
      <c r="R14" s="55" t="s">
        <v>105</v>
      </c>
      <c r="S14" s="55">
        <v>36.264</v>
      </c>
      <c r="T14" s="55">
        <f t="shared" si="2"/>
        <v>24.84375</v>
      </c>
      <c r="U14" s="55">
        <v>61.596</v>
      </c>
    </row>
    <row r="15" spans="1:21" ht="14.25">
      <c r="A15" s="54">
        <f t="shared" si="3"/>
        <v>12</v>
      </c>
      <c r="B15" s="49" t="s">
        <v>107</v>
      </c>
      <c r="C15" s="50">
        <v>410</v>
      </c>
      <c r="D15" s="50">
        <v>257</v>
      </c>
      <c r="E15" s="50">
        <v>30</v>
      </c>
      <c r="F15" s="50"/>
      <c r="G15" s="50"/>
      <c r="H15" s="50"/>
      <c r="I15" s="50"/>
      <c r="J15" s="50"/>
      <c r="K15" s="50"/>
      <c r="L15" s="50"/>
      <c r="M15" s="50">
        <v>0</v>
      </c>
      <c r="N15" s="55">
        <f t="shared" si="0"/>
        <v>697</v>
      </c>
      <c r="O15" s="55">
        <v>10.5</v>
      </c>
      <c r="P15" s="56">
        <v>12</v>
      </c>
      <c r="Q15" s="56">
        <f t="shared" si="1"/>
        <v>22.5</v>
      </c>
      <c r="R15" s="55">
        <v>36.437</v>
      </c>
      <c r="S15" s="55">
        <v>18.298</v>
      </c>
      <c r="T15" s="55">
        <f t="shared" si="2"/>
        <v>30.977777777777778</v>
      </c>
      <c r="U15" s="55">
        <f>SUM(R15:S15)</f>
        <v>54.735</v>
      </c>
    </row>
    <row r="16" spans="1:21" ht="14.25">
      <c r="A16" s="54">
        <f t="shared" si="3"/>
        <v>13</v>
      </c>
      <c r="B16" s="49" t="s">
        <v>108</v>
      </c>
      <c r="C16" s="50">
        <v>384</v>
      </c>
      <c r="D16" s="50">
        <v>218</v>
      </c>
      <c r="E16" s="50">
        <v>20</v>
      </c>
      <c r="F16" s="50">
        <v>35</v>
      </c>
      <c r="G16" s="50">
        <v>10</v>
      </c>
      <c r="H16" s="50">
        <v>30</v>
      </c>
      <c r="I16" s="50"/>
      <c r="J16" s="50"/>
      <c r="K16" s="50"/>
      <c r="L16" s="50"/>
      <c r="M16" s="50">
        <v>-30</v>
      </c>
      <c r="N16" s="55">
        <f t="shared" si="0"/>
        <v>667</v>
      </c>
      <c r="O16" s="55">
        <v>12</v>
      </c>
      <c r="P16" s="56">
        <v>12</v>
      </c>
      <c r="Q16" s="56">
        <f t="shared" si="1"/>
        <v>24</v>
      </c>
      <c r="R16" s="55">
        <v>27.903</v>
      </c>
      <c r="S16" s="55">
        <v>13.713</v>
      </c>
      <c r="T16" s="55">
        <f t="shared" si="2"/>
        <v>27.791666666666668</v>
      </c>
      <c r="U16" s="55">
        <f>SUM(R16:S16)</f>
        <v>41.616</v>
      </c>
    </row>
    <row r="17" spans="1:21" ht="28.5">
      <c r="A17" s="54">
        <f t="shared" si="3"/>
        <v>14</v>
      </c>
      <c r="B17" s="49" t="s">
        <v>109</v>
      </c>
      <c r="C17" s="50">
        <v>235</v>
      </c>
      <c r="D17" s="50">
        <v>380</v>
      </c>
      <c r="E17" s="50">
        <v>35</v>
      </c>
      <c r="F17" s="50">
        <v>10</v>
      </c>
      <c r="G17" s="50"/>
      <c r="H17" s="50"/>
      <c r="I17" s="50"/>
      <c r="J17" s="50"/>
      <c r="K17" s="50"/>
      <c r="L17" s="50"/>
      <c r="M17" s="50">
        <v>0</v>
      </c>
      <c r="N17" s="55">
        <f t="shared" si="0"/>
        <v>660</v>
      </c>
      <c r="O17" s="55">
        <v>9</v>
      </c>
      <c r="P17" s="56">
        <v>9</v>
      </c>
      <c r="Q17" s="56">
        <f t="shared" si="1"/>
        <v>18</v>
      </c>
      <c r="R17" s="55">
        <v>17.173</v>
      </c>
      <c r="S17" s="55">
        <v>31.597</v>
      </c>
      <c r="T17" s="55">
        <f t="shared" si="2"/>
        <v>36.666666666666664</v>
      </c>
      <c r="U17" s="55">
        <f>SUM(R17:S17)</f>
        <v>48.769999999999996</v>
      </c>
    </row>
    <row r="18" spans="1:21" ht="28.5">
      <c r="A18" s="54">
        <f t="shared" si="3"/>
        <v>15</v>
      </c>
      <c r="B18" s="49" t="s">
        <v>193</v>
      </c>
      <c r="C18" s="50">
        <v>376</v>
      </c>
      <c r="D18" s="50">
        <v>242</v>
      </c>
      <c r="E18" s="50">
        <v>30</v>
      </c>
      <c r="F18" s="50"/>
      <c r="G18" s="50"/>
      <c r="H18" s="50"/>
      <c r="I18" s="50"/>
      <c r="J18" s="50"/>
      <c r="K18" s="50"/>
      <c r="L18" s="50"/>
      <c r="M18" s="50">
        <v>0</v>
      </c>
      <c r="N18" s="55">
        <f t="shared" si="0"/>
        <v>648</v>
      </c>
      <c r="O18" s="55">
        <v>12</v>
      </c>
      <c r="P18" s="56">
        <v>11</v>
      </c>
      <c r="Q18" s="56">
        <f t="shared" si="1"/>
        <v>23</v>
      </c>
      <c r="R18" s="55">
        <v>41.76</v>
      </c>
      <c r="S18" s="55" t="s">
        <v>110</v>
      </c>
      <c r="T18" s="55">
        <f t="shared" si="2"/>
        <v>28.17391304347826</v>
      </c>
      <c r="U18" s="55">
        <v>61.806</v>
      </c>
    </row>
    <row r="19" spans="1:21" ht="14.25">
      <c r="A19" s="54">
        <f t="shared" si="3"/>
        <v>16</v>
      </c>
      <c r="B19" s="49" t="s">
        <v>111</v>
      </c>
      <c r="C19" s="50">
        <v>290</v>
      </c>
      <c r="D19" s="50">
        <v>301</v>
      </c>
      <c r="E19" s="50">
        <v>10</v>
      </c>
      <c r="F19" s="50">
        <v>10</v>
      </c>
      <c r="G19" s="50"/>
      <c r="H19" s="50"/>
      <c r="I19" s="50"/>
      <c r="J19" s="50"/>
      <c r="K19" s="50"/>
      <c r="L19" s="50"/>
      <c r="M19" s="50">
        <v>0</v>
      </c>
      <c r="N19" s="55">
        <f t="shared" si="0"/>
        <v>611</v>
      </c>
      <c r="O19" s="55">
        <v>6</v>
      </c>
      <c r="P19" s="56">
        <v>6.5</v>
      </c>
      <c r="Q19" s="56">
        <f t="shared" si="1"/>
        <v>12.5</v>
      </c>
      <c r="R19" s="55">
        <v>18.041</v>
      </c>
      <c r="S19" s="55">
        <v>39.235</v>
      </c>
      <c r="T19" s="55">
        <f t="shared" si="2"/>
        <v>48.88</v>
      </c>
      <c r="U19" s="55">
        <f>SUM(R19:S19)</f>
        <v>57.275999999999996</v>
      </c>
    </row>
    <row r="20" spans="1:21" ht="14.25">
      <c r="A20" s="54">
        <f t="shared" si="3"/>
        <v>17</v>
      </c>
      <c r="B20" s="49" t="s">
        <v>113</v>
      </c>
      <c r="C20" s="50">
        <v>319</v>
      </c>
      <c r="D20" s="50">
        <v>232</v>
      </c>
      <c r="E20" s="50"/>
      <c r="F20" s="50">
        <v>10</v>
      </c>
      <c r="G20" s="50"/>
      <c r="H20" s="50"/>
      <c r="I20" s="50"/>
      <c r="J20" s="50"/>
      <c r="K20" s="50"/>
      <c r="L20" s="50"/>
      <c r="M20" s="50">
        <v>0</v>
      </c>
      <c r="N20" s="55">
        <f t="shared" si="0"/>
        <v>561</v>
      </c>
      <c r="O20" s="55">
        <v>6</v>
      </c>
      <c r="P20" s="56">
        <v>5.75</v>
      </c>
      <c r="Q20" s="56">
        <f t="shared" si="1"/>
        <v>11.75</v>
      </c>
      <c r="R20" s="55">
        <v>44.114</v>
      </c>
      <c r="S20" s="55">
        <v>14.229</v>
      </c>
      <c r="T20" s="55">
        <f t="shared" si="2"/>
        <v>47.744680851063826</v>
      </c>
      <c r="U20" s="55">
        <f>SUM(R20:S20)</f>
        <v>58.342999999999996</v>
      </c>
    </row>
    <row r="21" spans="1:21" ht="14.25">
      <c r="A21" s="54">
        <f t="shared" si="3"/>
        <v>18</v>
      </c>
      <c r="B21" s="49" t="s">
        <v>115</v>
      </c>
      <c r="C21" s="50">
        <v>293</v>
      </c>
      <c r="D21" s="50">
        <v>260</v>
      </c>
      <c r="E21" s="50">
        <v>20</v>
      </c>
      <c r="F21" s="50">
        <v>10</v>
      </c>
      <c r="G21" s="50"/>
      <c r="H21" s="50"/>
      <c r="I21" s="50"/>
      <c r="J21" s="50"/>
      <c r="K21" s="50"/>
      <c r="L21" s="50"/>
      <c r="M21" s="50">
        <v>-30</v>
      </c>
      <c r="N21" s="55">
        <f t="shared" si="0"/>
        <v>553</v>
      </c>
      <c r="O21" s="55">
        <v>19</v>
      </c>
      <c r="P21" s="56">
        <v>19</v>
      </c>
      <c r="Q21" s="56">
        <f t="shared" si="1"/>
        <v>38</v>
      </c>
      <c r="R21" s="55">
        <v>19.78</v>
      </c>
      <c r="S21" s="55">
        <v>20.496</v>
      </c>
      <c r="T21" s="55">
        <f t="shared" si="2"/>
        <v>14.552631578947368</v>
      </c>
      <c r="U21" s="55">
        <f>SUM(R21:S21)</f>
        <v>40.275999999999996</v>
      </c>
    </row>
    <row r="22" spans="1:21" ht="28.5">
      <c r="A22" s="54">
        <f t="shared" si="3"/>
        <v>19</v>
      </c>
      <c r="B22" s="49" t="s">
        <v>117</v>
      </c>
      <c r="C22" s="50">
        <v>281</v>
      </c>
      <c r="D22" s="50">
        <v>216</v>
      </c>
      <c r="E22" s="50"/>
      <c r="F22" s="50"/>
      <c r="G22" s="50"/>
      <c r="H22" s="50"/>
      <c r="I22" s="50"/>
      <c r="J22" s="50"/>
      <c r="K22" s="50">
        <v>12.06</v>
      </c>
      <c r="L22" s="50"/>
      <c r="M22" s="50">
        <v>0</v>
      </c>
      <c r="N22" s="55">
        <f t="shared" si="0"/>
        <v>509.06</v>
      </c>
      <c r="O22" s="55">
        <v>4</v>
      </c>
      <c r="P22" s="56">
        <v>4</v>
      </c>
      <c r="Q22" s="56">
        <f t="shared" si="1"/>
        <v>8</v>
      </c>
      <c r="R22" s="55" t="s">
        <v>118</v>
      </c>
      <c r="S22" s="55" t="s">
        <v>119</v>
      </c>
      <c r="T22" s="55">
        <f t="shared" si="2"/>
        <v>63.6325</v>
      </c>
      <c r="U22" s="55">
        <v>166.587</v>
      </c>
    </row>
    <row r="23" spans="1:21" ht="14.25">
      <c r="A23" s="54">
        <f t="shared" si="3"/>
        <v>20</v>
      </c>
      <c r="B23" s="49" t="s">
        <v>121</v>
      </c>
      <c r="C23" s="50">
        <v>167</v>
      </c>
      <c r="D23" s="50">
        <v>230</v>
      </c>
      <c r="E23" s="50"/>
      <c r="F23" s="50">
        <v>20</v>
      </c>
      <c r="G23" s="50"/>
      <c r="H23" s="50"/>
      <c r="I23" s="50"/>
      <c r="J23" s="50"/>
      <c r="K23" s="50"/>
      <c r="L23" s="50"/>
      <c r="M23" s="50">
        <v>0</v>
      </c>
      <c r="N23" s="55">
        <f t="shared" si="0"/>
        <v>417</v>
      </c>
      <c r="O23" s="55">
        <v>9.25</v>
      </c>
      <c r="P23" s="56">
        <v>9.25</v>
      </c>
      <c r="Q23" s="56">
        <f t="shared" si="1"/>
        <v>18.5</v>
      </c>
      <c r="R23" s="55">
        <v>8.96</v>
      </c>
      <c r="S23" s="55">
        <v>12.907</v>
      </c>
      <c r="T23" s="55">
        <f t="shared" si="2"/>
        <v>22.54054054054054</v>
      </c>
      <c r="U23" s="55">
        <f>SUM(R23:S23)</f>
        <v>21.867</v>
      </c>
    </row>
    <row r="24" spans="1:21" ht="28.5">
      <c r="A24" s="54">
        <f t="shared" si="3"/>
        <v>21</v>
      </c>
      <c r="B24" s="49" t="s">
        <v>123</v>
      </c>
      <c r="C24" s="50">
        <v>296</v>
      </c>
      <c r="D24" s="50">
        <v>102</v>
      </c>
      <c r="E24" s="50">
        <v>10</v>
      </c>
      <c r="F24" s="50"/>
      <c r="G24" s="50"/>
      <c r="H24" s="50"/>
      <c r="I24" s="50"/>
      <c r="J24" s="50"/>
      <c r="K24" s="50"/>
      <c r="L24" s="50"/>
      <c r="M24" s="50">
        <v>0</v>
      </c>
      <c r="N24" s="55">
        <f t="shared" si="0"/>
        <v>408</v>
      </c>
      <c r="O24" s="55">
        <v>10</v>
      </c>
      <c r="P24" s="56">
        <v>10</v>
      </c>
      <c r="Q24" s="56">
        <f t="shared" si="1"/>
        <v>20</v>
      </c>
      <c r="R24" s="55">
        <v>23.927</v>
      </c>
      <c r="S24" s="55">
        <v>6.617</v>
      </c>
      <c r="T24" s="55">
        <f t="shared" si="2"/>
        <v>20.4</v>
      </c>
      <c r="U24" s="55">
        <f>SUM(R24:S24)</f>
        <v>30.544</v>
      </c>
    </row>
    <row r="25" spans="1:21" ht="14.25">
      <c r="A25" s="54">
        <f t="shared" si="3"/>
        <v>22</v>
      </c>
      <c r="B25" s="49" t="s">
        <v>125</v>
      </c>
      <c r="C25" s="50">
        <v>212</v>
      </c>
      <c r="D25" s="50">
        <v>153</v>
      </c>
      <c r="E25" s="50">
        <v>35</v>
      </c>
      <c r="F25" s="50"/>
      <c r="G25" s="50">
        <v>30</v>
      </c>
      <c r="H25" s="50"/>
      <c r="I25" s="50"/>
      <c r="J25" s="50"/>
      <c r="K25" s="50"/>
      <c r="L25" s="50"/>
      <c r="M25" s="50">
        <v>-30</v>
      </c>
      <c r="N25" s="55">
        <f t="shared" si="0"/>
        <v>400</v>
      </c>
      <c r="O25" s="55">
        <v>5</v>
      </c>
      <c r="P25" s="56">
        <v>6</v>
      </c>
      <c r="Q25" s="56">
        <f t="shared" si="1"/>
        <v>11</v>
      </c>
      <c r="R25" s="55">
        <v>10.177</v>
      </c>
      <c r="S25" s="55">
        <v>10.069</v>
      </c>
      <c r="T25" s="55">
        <f t="shared" si="2"/>
        <v>36.36363636363637</v>
      </c>
      <c r="U25" s="55">
        <f>SUM(R25:S25)</f>
        <v>20.246000000000002</v>
      </c>
    </row>
    <row r="26" spans="1:21" ht="28.5">
      <c r="A26" s="54">
        <f t="shared" si="3"/>
        <v>23</v>
      </c>
      <c r="B26" s="49" t="s">
        <v>127</v>
      </c>
      <c r="C26" s="50">
        <v>150</v>
      </c>
      <c r="D26" s="50">
        <v>228</v>
      </c>
      <c r="E26" s="50">
        <v>10</v>
      </c>
      <c r="F26" s="50"/>
      <c r="G26" s="50"/>
      <c r="H26" s="50"/>
      <c r="I26" s="50"/>
      <c r="J26" s="50"/>
      <c r="K26" s="50"/>
      <c r="L26" s="50"/>
      <c r="M26" s="50">
        <v>0</v>
      </c>
      <c r="N26" s="55">
        <f t="shared" si="0"/>
        <v>388</v>
      </c>
      <c r="O26" s="55">
        <v>6</v>
      </c>
      <c r="P26" s="56">
        <v>7</v>
      </c>
      <c r="Q26" s="56">
        <f t="shared" si="1"/>
        <v>13</v>
      </c>
      <c r="R26" s="55" t="s">
        <v>128</v>
      </c>
      <c r="S26" s="55">
        <v>15.326</v>
      </c>
      <c r="T26" s="55">
        <f t="shared" si="2"/>
        <v>29.846153846153847</v>
      </c>
      <c r="U26" s="55">
        <v>25.8</v>
      </c>
    </row>
    <row r="27" spans="1:21" ht="14.25">
      <c r="A27" s="54">
        <f t="shared" si="3"/>
        <v>24</v>
      </c>
      <c r="B27" s="49" t="s">
        <v>130</v>
      </c>
      <c r="C27" s="50">
        <v>148</v>
      </c>
      <c r="D27" s="50">
        <v>135</v>
      </c>
      <c r="E27" s="50">
        <v>45</v>
      </c>
      <c r="F27" s="50"/>
      <c r="G27" s="50"/>
      <c r="H27" s="50"/>
      <c r="I27" s="50"/>
      <c r="J27" s="50"/>
      <c r="K27" s="50"/>
      <c r="L27" s="50"/>
      <c r="M27" s="50">
        <v>0</v>
      </c>
      <c r="N27" s="55">
        <f t="shared" si="0"/>
        <v>328</v>
      </c>
      <c r="O27" s="55">
        <v>9</v>
      </c>
      <c r="P27" s="56">
        <v>9</v>
      </c>
      <c r="Q27" s="56">
        <f t="shared" si="1"/>
        <v>18</v>
      </c>
      <c r="R27" s="55">
        <v>9.606</v>
      </c>
      <c r="S27" s="55">
        <v>16.373</v>
      </c>
      <c r="T27" s="55">
        <f t="shared" si="2"/>
        <v>18.22222222222222</v>
      </c>
      <c r="U27" s="55">
        <f aca="true" t="shared" si="4" ref="U27:U34">SUM(R27:S27)</f>
        <v>25.979</v>
      </c>
    </row>
    <row r="28" spans="1:21" ht="28.5">
      <c r="A28" s="54">
        <f t="shared" si="3"/>
        <v>25</v>
      </c>
      <c r="B28" s="49" t="s">
        <v>131</v>
      </c>
      <c r="C28" s="50">
        <v>194</v>
      </c>
      <c r="D28" s="50">
        <v>55</v>
      </c>
      <c r="E28" s="50"/>
      <c r="F28" s="50"/>
      <c r="G28" s="50"/>
      <c r="H28" s="50"/>
      <c r="I28" s="50"/>
      <c r="J28" s="50"/>
      <c r="K28" s="50">
        <v>73.56</v>
      </c>
      <c r="L28" s="50"/>
      <c r="M28" s="50">
        <v>0</v>
      </c>
      <c r="N28" s="55">
        <f t="shared" si="0"/>
        <v>322.56</v>
      </c>
      <c r="O28" s="55">
        <v>8</v>
      </c>
      <c r="P28" s="56">
        <v>9</v>
      </c>
      <c r="Q28" s="56">
        <f t="shared" si="1"/>
        <v>17</v>
      </c>
      <c r="R28" s="55">
        <v>13.349</v>
      </c>
      <c r="S28" s="55">
        <v>2.268</v>
      </c>
      <c r="T28" s="55">
        <f t="shared" si="2"/>
        <v>18.974117647058822</v>
      </c>
      <c r="U28" s="55">
        <f t="shared" si="4"/>
        <v>15.617</v>
      </c>
    </row>
    <row r="29" spans="1:21" ht="28.5">
      <c r="A29" s="54">
        <f t="shared" si="3"/>
        <v>26</v>
      </c>
      <c r="B29" s="49" t="s">
        <v>132</v>
      </c>
      <c r="C29" s="50">
        <v>140</v>
      </c>
      <c r="D29" s="50">
        <v>84</v>
      </c>
      <c r="E29" s="50"/>
      <c r="F29" s="50"/>
      <c r="G29" s="50"/>
      <c r="H29" s="50"/>
      <c r="I29" s="50"/>
      <c r="J29" s="50"/>
      <c r="K29" s="50"/>
      <c r="L29" s="50"/>
      <c r="M29" s="50">
        <v>0</v>
      </c>
      <c r="N29" s="55">
        <f t="shared" si="0"/>
        <v>224</v>
      </c>
      <c r="O29" s="55">
        <v>8</v>
      </c>
      <c r="P29" s="56">
        <v>8</v>
      </c>
      <c r="Q29" s="56">
        <f t="shared" si="1"/>
        <v>16</v>
      </c>
      <c r="R29" s="55">
        <v>12.301</v>
      </c>
      <c r="S29" s="55">
        <v>6.19</v>
      </c>
      <c r="T29" s="55">
        <f t="shared" si="2"/>
        <v>14</v>
      </c>
      <c r="U29" s="55">
        <f t="shared" si="4"/>
        <v>18.491</v>
      </c>
    </row>
    <row r="30" spans="1:21" ht="14.25">
      <c r="A30" s="54">
        <f t="shared" si="3"/>
        <v>27</v>
      </c>
      <c r="B30" s="49" t="s">
        <v>133</v>
      </c>
      <c r="C30" s="50">
        <v>151</v>
      </c>
      <c r="D30" s="50">
        <v>60</v>
      </c>
      <c r="E30" s="50"/>
      <c r="F30" s="50">
        <v>10</v>
      </c>
      <c r="G30" s="50"/>
      <c r="H30" s="50"/>
      <c r="I30" s="50"/>
      <c r="J30" s="50"/>
      <c r="K30" s="50"/>
      <c r="L30" s="50"/>
      <c r="M30" s="50">
        <v>-30</v>
      </c>
      <c r="N30" s="55">
        <f t="shared" si="0"/>
        <v>191</v>
      </c>
      <c r="O30" s="55">
        <v>8</v>
      </c>
      <c r="P30" s="56">
        <v>8</v>
      </c>
      <c r="Q30" s="56">
        <f t="shared" si="1"/>
        <v>16</v>
      </c>
      <c r="R30" s="55">
        <v>7.098</v>
      </c>
      <c r="S30" s="55">
        <v>2.461</v>
      </c>
      <c r="T30" s="55">
        <f t="shared" si="2"/>
        <v>11.9375</v>
      </c>
      <c r="U30" s="55">
        <f t="shared" si="4"/>
        <v>9.559</v>
      </c>
    </row>
    <row r="31" spans="1:21" ht="14.25">
      <c r="A31" s="54">
        <f t="shared" si="3"/>
        <v>28</v>
      </c>
      <c r="B31" s="49" t="s">
        <v>134</v>
      </c>
      <c r="C31" s="50">
        <v>65</v>
      </c>
      <c r="D31" s="50">
        <v>113</v>
      </c>
      <c r="E31" s="50"/>
      <c r="F31" s="50"/>
      <c r="G31" s="50"/>
      <c r="H31" s="50"/>
      <c r="I31" s="50"/>
      <c r="J31" s="50"/>
      <c r="K31" s="50"/>
      <c r="L31" s="50"/>
      <c r="M31" s="50">
        <v>0</v>
      </c>
      <c r="N31" s="55">
        <f t="shared" si="0"/>
        <v>178</v>
      </c>
      <c r="O31" s="55">
        <v>6</v>
      </c>
      <c r="P31" s="56">
        <v>6</v>
      </c>
      <c r="Q31" s="56">
        <f t="shared" si="1"/>
        <v>12</v>
      </c>
      <c r="R31" s="55">
        <v>3.053</v>
      </c>
      <c r="S31" s="55">
        <v>9.05</v>
      </c>
      <c r="T31" s="55">
        <f t="shared" si="2"/>
        <v>14.833333333333334</v>
      </c>
      <c r="U31" s="55">
        <f t="shared" si="4"/>
        <v>12.103000000000002</v>
      </c>
    </row>
    <row r="32" spans="1:21" ht="14.25">
      <c r="A32" s="54">
        <f t="shared" si="3"/>
        <v>29</v>
      </c>
      <c r="B32" s="49" t="s">
        <v>135</v>
      </c>
      <c r="C32" s="50">
        <v>115</v>
      </c>
      <c r="D32" s="50">
        <v>40</v>
      </c>
      <c r="E32" s="50"/>
      <c r="F32" s="50"/>
      <c r="G32" s="50"/>
      <c r="H32" s="50"/>
      <c r="I32" s="50"/>
      <c r="J32" s="50"/>
      <c r="K32" s="50">
        <v>14.04</v>
      </c>
      <c r="L32" s="50"/>
      <c r="M32" s="50">
        <v>0</v>
      </c>
      <c r="N32" s="55">
        <f t="shared" si="0"/>
        <v>169.04</v>
      </c>
      <c r="O32" s="55">
        <v>5</v>
      </c>
      <c r="P32" s="56">
        <v>6</v>
      </c>
      <c r="Q32" s="56">
        <f t="shared" si="1"/>
        <v>11</v>
      </c>
      <c r="R32" s="55">
        <v>10.06</v>
      </c>
      <c r="S32" s="55">
        <v>1.051</v>
      </c>
      <c r="T32" s="55">
        <f t="shared" si="2"/>
        <v>15.367272727272727</v>
      </c>
      <c r="U32" s="55">
        <f t="shared" si="4"/>
        <v>11.111</v>
      </c>
    </row>
    <row r="33" spans="1:21" ht="14.25">
      <c r="A33" s="54">
        <f t="shared" si="3"/>
        <v>30</v>
      </c>
      <c r="B33" s="49" t="s">
        <v>136</v>
      </c>
      <c r="C33" s="50">
        <v>88</v>
      </c>
      <c r="D33" s="50">
        <v>71</v>
      </c>
      <c r="E33" s="50"/>
      <c r="F33" s="50">
        <v>10</v>
      </c>
      <c r="G33" s="50"/>
      <c r="H33" s="50"/>
      <c r="I33" s="50"/>
      <c r="J33" s="50"/>
      <c r="K33" s="50"/>
      <c r="L33" s="50"/>
      <c r="M33" s="50">
        <v>0</v>
      </c>
      <c r="N33" s="55">
        <f t="shared" si="0"/>
        <v>169</v>
      </c>
      <c r="O33" s="55">
        <v>4</v>
      </c>
      <c r="P33" s="56">
        <v>5</v>
      </c>
      <c r="Q33" s="56">
        <f t="shared" si="1"/>
        <v>9</v>
      </c>
      <c r="R33" s="55">
        <v>0.857</v>
      </c>
      <c r="S33" s="55">
        <v>2.669</v>
      </c>
      <c r="T33" s="55">
        <f t="shared" si="2"/>
        <v>18.77777777777778</v>
      </c>
      <c r="U33" s="55">
        <f t="shared" si="4"/>
        <v>3.526</v>
      </c>
    </row>
    <row r="34" spans="1:21" ht="14.25">
      <c r="A34" s="54">
        <f t="shared" si="3"/>
        <v>31</v>
      </c>
      <c r="B34" s="49" t="s">
        <v>137</v>
      </c>
      <c r="C34" s="50">
        <v>136</v>
      </c>
      <c r="D34" s="50">
        <v>55</v>
      </c>
      <c r="E34" s="50"/>
      <c r="F34" s="50"/>
      <c r="G34" s="50"/>
      <c r="H34" s="50"/>
      <c r="I34" s="50"/>
      <c r="J34" s="50"/>
      <c r="K34" s="50"/>
      <c r="L34" s="50"/>
      <c r="M34" s="50">
        <v>-30</v>
      </c>
      <c r="N34" s="55">
        <f t="shared" si="0"/>
        <v>161</v>
      </c>
      <c r="O34" s="55">
        <v>3</v>
      </c>
      <c r="P34" s="56">
        <v>3.5</v>
      </c>
      <c r="Q34" s="56">
        <f t="shared" si="1"/>
        <v>6.5</v>
      </c>
      <c r="R34" s="55">
        <v>8.005</v>
      </c>
      <c r="S34" s="55">
        <v>2.132</v>
      </c>
      <c r="T34" s="55">
        <f t="shared" si="2"/>
        <v>24.76923076923077</v>
      </c>
      <c r="U34" s="55">
        <f t="shared" si="4"/>
        <v>10.137</v>
      </c>
    </row>
    <row r="35" spans="1:21" ht="14.25">
      <c r="A35" s="21"/>
      <c r="B35" s="21"/>
      <c r="C35" s="21"/>
      <c r="D35" s="51" t="s">
        <v>182</v>
      </c>
      <c r="E35" s="51"/>
      <c r="F35" s="51"/>
      <c r="G35" s="51"/>
      <c r="H35" s="51"/>
      <c r="I35" s="51"/>
      <c r="J35" s="51"/>
      <c r="K35" s="51"/>
      <c r="L35" s="51"/>
      <c r="M35" s="51"/>
      <c r="N35" s="47">
        <f>SUM(N4:N34)</f>
        <v>24867.800000000003</v>
      </c>
      <c r="O35" s="57"/>
      <c r="P35" s="57"/>
      <c r="Q35" s="47">
        <f>SUM(Q4:Q34)</f>
        <v>652.25</v>
      </c>
      <c r="R35" s="58"/>
      <c r="S35" s="58"/>
      <c r="T35" s="58"/>
      <c r="U35" s="59"/>
    </row>
    <row r="36" spans="4:20" ht="14.25">
      <c r="D36" s="52" t="s">
        <v>138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4.25">
      <c r="B37" s="22" t="s">
        <v>139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</sheetData>
  <sheetProtection/>
  <mergeCells count="22">
    <mergeCell ref="U2:U3"/>
    <mergeCell ref="O2:O3"/>
    <mergeCell ref="P2:P3"/>
    <mergeCell ref="Q2:Q3"/>
    <mergeCell ref="R2:R3"/>
    <mergeCell ref="K2:K3"/>
    <mergeCell ref="T2:T3"/>
    <mergeCell ref="J2:J3"/>
    <mergeCell ref="G2:G3"/>
    <mergeCell ref="H2:H3"/>
    <mergeCell ref="I2:I3"/>
    <mergeCell ref="M2:M3"/>
    <mergeCell ref="E2:E3"/>
    <mergeCell ref="F2:F3"/>
    <mergeCell ref="L2:L3"/>
    <mergeCell ref="N2:N3"/>
    <mergeCell ref="A1:U1"/>
    <mergeCell ref="A2:A3"/>
    <mergeCell ref="B2:B3"/>
    <mergeCell ref="C2:C3"/>
    <mergeCell ref="D2:D3"/>
    <mergeCell ref="S2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W9" sqref="W9"/>
    </sheetView>
  </sheetViews>
  <sheetFormatPr defaultColWidth="9.00390625" defaultRowHeight="12.75"/>
  <cols>
    <col min="1" max="1" width="5.375" style="20" customWidth="1"/>
    <col min="2" max="2" width="54.75390625" style="20" customWidth="1"/>
    <col min="3" max="13" width="0" style="20" hidden="1" customWidth="1"/>
    <col min="14" max="14" width="13.00390625" style="20" customWidth="1"/>
    <col min="15" max="16" width="0" style="20" hidden="1" customWidth="1"/>
    <col min="17" max="17" width="14.625" style="20" customWidth="1"/>
    <col min="18" max="18" width="14.125" style="20" customWidth="1"/>
    <col min="19" max="20" width="0" style="20" hidden="1" customWidth="1"/>
    <col min="21" max="21" width="17.00390625" style="20" customWidth="1"/>
    <col min="22" max="16384" width="9.00390625" style="20" customWidth="1"/>
  </cols>
  <sheetData>
    <row r="1" spans="1:21" ht="29.25" customHeight="1">
      <c r="A1" s="98" t="s">
        <v>189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28.25">
      <c r="A2" s="67" t="s">
        <v>0</v>
      </c>
      <c r="B2" s="8" t="s">
        <v>55</v>
      </c>
      <c r="C2" s="53" t="s">
        <v>2</v>
      </c>
      <c r="D2" s="53" t="s">
        <v>2</v>
      </c>
      <c r="E2" s="53" t="s">
        <v>3</v>
      </c>
      <c r="F2" s="53" t="s">
        <v>4</v>
      </c>
      <c r="G2" s="53" t="s">
        <v>5</v>
      </c>
      <c r="H2" s="68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68" t="s">
        <v>11</v>
      </c>
      <c r="N2" s="69" t="s">
        <v>140</v>
      </c>
      <c r="O2" s="70" t="s">
        <v>14</v>
      </c>
      <c r="P2" s="70" t="s">
        <v>15</v>
      </c>
      <c r="Q2" s="71" t="s">
        <v>185</v>
      </c>
      <c r="R2" s="71" t="s">
        <v>178</v>
      </c>
      <c r="S2" s="72" t="s">
        <v>12</v>
      </c>
      <c r="T2" s="73" t="s">
        <v>13</v>
      </c>
      <c r="U2" s="53" t="s">
        <v>179</v>
      </c>
    </row>
    <row r="3" spans="1:21" ht="14.25">
      <c r="A3" s="66" t="s">
        <v>58</v>
      </c>
      <c r="B3" s="60" t="s">
        <v>142</v>
      </c>
      <c r="C3" s="63">
        <v>410</v>
      </c>
      <c r="D3" s="63">
        <v>345</v>
      </c>
      <c r="E3" s="15">
        <v>10</v>
      </c>
      <c r="F3" s="15">
        <v>20</v>
      </c>
      <c r="G3" s="15">
        <v>0</v>
      </c>
      <c r="H3" s="15">
        <v>0</v>
      </c>
      <c r="I3" s="16">
        <v>0</v>
      </c>
      <c r="J3" s="16">
        <v>0</v>
      </c>
      <c r="K3" s="15">
        <v>0.19</v>
      </c>
      <c r="L3" s="16">
        <v>0</v>
      </c>
      <c r="M3" s="15">
        <v>0</v>
      </c>
      <c r="N3" s="85">
        <f aca="true" t="shared" si="0" ref="N3:N26">C3+D3+E3+F3+G3+H3+I3+J3+K3+L3+M3</f>
        <v>785.19</v>
      </c>
      <c r="O3" s="86">
        <v>5.5</v>
      </c>
      <c r="P3" s="86">
        <v>5.5</v>
      </c>
      <c r="Q3" s="86">
        <f aca="true" t="shared" si="1" ref="Q3:Q26">O3+P3</f>
        <v>11</v>
      </c>
      <c r="R3" s="86">
        <f aca="true" t="shared" si="2" ref="R3:R22">N3/Q3</f>
        <v>71.3809090909091</v>
      </c>
      <c r="S3" s="81">
        <v>33.947</v>
      </c>
      <c r="T3" s="81">
        <v>29.665</v>
      </c>
      <c r="U3" s="86">
        <f aca="true" t="shared" si="3" ref="U3:U26">S3+T3</f>
        <v>63.612</v>
      </c>
    </row>
    <row r="4" spans="1:21" ht="14.25">
      <c r="A4" s="66" t="s">
        <v>59</v>
      </c>
      <c r="B4" s="60" t="s">
        <v>143</v>
      </c>
      <c r="C4" s="63">
        <v>465</v>
      </c>
      <c r="D4" s="63">
        <v>254</v>
      </c>
      <c r="E4" s="15">
        <v>45</v>
      </c>
      <c r="F4" s="15">
        <v>10</v>
      </c>
      <c r="G4" s="15">
        <v>10</v>
      </c>
      <c r="H4" s="16">
        <v>30</v>
      </c>
      <c r="I4" s="16">
        <v>0</v>
      </c>
      <c r="J4" s="16">
        <v>0.81</v>
      </c>
      <c r="K4" s="16">
        <v>0</v>
      </c>
      <c r="L4" s="16">
        <v>0</v>
      </c>
      <c r="M4" s="16">
        <v>-30</v>
      </c>
      <c r="N4" s="85">
        <f t="shared" si="0"/>
        <v>784.81</v>
      </c>
      <c r="O4" s="86">
        <v>16</v>
      </c>
      <c r="P4" s="86">
        <v>17.5</v>
      </c>
      <c r="Q4" s="86">
        <f t="shared" si="1"/>
        <v>33.5</v>
      </c>
      <c r="R4" s="86">
        <f t="shared" si="2"/>
        <v>23.427164179104476</v>
      </c>
      <c r="S4" s="81">
        <v>44.797</v>
      </c>
      <c r="T4" s="81">
        <v>16.85</v>
      </c>
      <c r="U4" s="86">
        <f t="shared" si="3"/>
        <v>61.647</v>
      </c>
    </row>
    <row r="5" spans="1:21" ht="14.25">
      <c r="A5" s="66" t="s">
        <v>71</v>
      </c>
      <c r="B5" s="60" t="s">
        <v>149</v>
      </c>
      <c r="C5" s="63">
        <v>288</v>
      </c>
      <c r="D5" s="63">
        <v>335</v>
      </c>
      <c r="E5" s="15">
        <v>50</v>
      </c>
      <c r="F5" s="15">
        <v>10</v>
      </c>
      <c r="G5" s="15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-30</v>
      </c>
      <c r="N5" s="85">
        <f t="shared" si="0"/>
        <v>653</v>
      </c>
      <c r="O5" s="86">
        <v>7.5</v>
      </c>
      <c r="P5" s="86">
        <v>8</v>
      </c>
      <c r="Q5" s="86">
        <f t="shared" si="1"/>
        <v>15.5</v>
      </c>
      <c r="R5" s="86">
        <f t="shared" si="2"/>
        <v>42.12903225806452</v>
      </c>
      <c r="S5" s="81">
        <v>16.784</v>
      </c>
      <c r="T5" s="81">
        <v>13.781</v>
      </c>
      <c r="U5" s="86">
        <f t="shared" si="3"/>
        <v>30.564999999999998</v>
      </c>
    </row>
    <row r="6" spans="1:21" ht="14.25">
      <c r="A6" s="66" t="s">
        <v>65</v>
      </c>
      <c r="B6" s="60" t="s">
        <v>146</v>
      </c>
      <c r="C6" s="63">
        <v>199</v>
      </c>
      <c r="D6" s="63">
        <v>402</v>
      </c>
      <c r="E6" s="15">
        <v>0</v>
      </c>
      <c r="F6" s="15">
        <v>0</v>
      </c>
      <c r="G6" s="15">
        <v>40</v>
      </c>
      <c r="H6" s="15">
        <v>0</v>
      </c>
      <c r="I6" s="15">
        <v>0</v>
      </c>
      <c r="J6" s="15">
        <v>0</v>
      </c>
      <c r="K6" s="15">
        <v>0</v>
      </c>
      <c r="L6" s="16">
        <v>0</v>
      </c>
      <c r="M6" s="15">
        <v>0</v>
      </c>
      <c r="N6" s="85">
        <f t="shared" si="0"/>
        <v>641</v>
      </c>
      <c r="O6" s="86">
        <v>10</v>
      </c>
      <c r="P6" s="86">
        <v>11</v>
      </c>
      <c r="Q6" s="86">
        <f t="shared" si="1"/>
        <v>21</v>
      </c>
      <c r="R6" s="86">
        <f t="shared" si="2"/>
        <v>30.523809523809526</v>
      </c>
      <c r="S6" s="81">
        <v>7.794</v>
      </c>
      <c r="T6" s="81">
        <v>29.843</v>
      </c>
      <c r="U6" s="86">
        <f t="shared" si="3"/>
        <v>37.637</v>
      </c>
    </row>
    <row r="7" spans="1:21" ht="14.25">
      <c r="A7" s="66" t="s">
        <v>63</v>
      </c>
      <c r="B7" s="60" t="s">
        <v>145</v>
      </c>
      <c r="C7" s="63">
        <v>290</v>
      </c>
      <c r="D7" s="63">
        <v>289</v>
      </c>
      <c r="E7" s="15">
        <v>10</v>
      </c>
      <c r="F7" s="15">
        <v>10</v>
      </c>
      <c r="G7" s="15">
        <v>0</v>
      </c>
      <c r="H7" s="16">
        <v>30</v>
      </c>
      <c r="I7" s="16">
        <v>0</v>
      </c>
      <c r="J7" s="16">
        <v>0</v>
      </c>
      <c r="K7" s="16">
        <v>1.94</v>
      </c>
      <c r="L7" s="16">
        <v>0.66</v>
      </c>
      <c r="M7" s="16">
        <v>0</v>
      </c>
      <c r="N7" s="85">
        <f t="shared" si="0"/>
        <v>631.6</v>
      </c>
      <c r="O7" s="86">
        <v>8</v>
      </c>
      <c r="P7" s="86">
        <v>9</v>
      </c>
      <c r="Q7" s="86">
        <f t="shared" si="1"/>
        <v>17</v>
      </c>
      <c r="R7" s="86">
        <f t="shared" si="2"/>
        <v>37.15294117647059</v>
      </c>
      <c r="S7" s="81">
        <v>24.791</v>
      </c>
      <c r="T7" s="81">
        <v>20.191</v>
      </c>
      <c r="U7" s="86">
        <f t="shared" si="3"/>
        <v>44.982</v>
      </c>
    </row>
    <row r="8" spans="1:21" ht="14.25">
      <c r="A8" s="66" t="s">
        <v>61</v>
      </c>
      <c r="B8" s="60" t="s">
        <v>144</v>
      </c>
      <c r="C8" s="63">
        <v>180</v>
      </c>
      <c r="D8" s="63">
        <v>440</v>
      </c>
      <c r="E8" s="15">
        <v>10</v>
      </c>
      <c r="F8" s="15">
        <v>0</v>
      </c>
      <c r="G8" s="15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-30</v>
      </c>
      <c r="N8" s="85">
        <f t="shared" si="0"/>
        <v>600</v>
      </c>
      <c r="O8" s="86">
        <v>10</v>
      </c>
      <c r="P8" s="86">
        <v>9</v>
      </c>
      <c r="Q8" s="86">
        <f t="shared" si="1"/>
        <v>19</v>
      </c>
      <c r="R8" s="86">
        <f t="shared" si="2"/>
        <v>31.57894736842105</v>
      </c>
      <c r="S8" s="81">
        <v>12.227</v>
      </c>
      <c r="T8" s="81">
        <v>43.8</v>
      </c>
      <c r="U8" s="86">
        <f t="shared" si="3"/>
        <v>56.027</v>
      </c>
    </row>
    <row r="9" spans="1:21" ht="14.25">
      <c r="A9" s="66" t="s">
        <v>56</v>
      </c>
      <c r="B9" s="60" t="s">
        <v>141</v>
      </c>
      <c r="C9" s="63">
        <v>275</v>
      </c>
      <c r="D9" s="63">
        <v>353</v>
      </c>
      <c r="E9" s="15">
        <v>0</v>
      </c>
      <c r="F9" s="15">
        <v>0</v>
      </c>
      <c r="G9" s="15">
        <v>0</v>
      </c>
      <c r="H9" s="16">
        <v>15</v>
      </c>
      <c r="I9" s="16">
        <v>0</v>
      </c>
      <c r="J9" s="16">
        <v>0</v>
      </c>
      <c r="K9" s="16">
        <v>0</v>
      </c>
      <c r="L9" s="16">
        <v>0</v>
      </c>
      <c r="M9" s="16">
        <v>-60</v>
      </c>
      <c r="N9" s="85">
        <f t="shared" si="0"/>
        <v>583</v>
      </c>
      <c r="O9" s="86">
        <v>7</v>
      </c>
      <c r="P9" s="86">
        <v>10</v>
      </c>
      <c r="Q9" s="86">
        <f t="shared" si="1"/>
        <v>17</v>
      </c>
      <c r="R9" s="86">
        <f t="shared" si="2"/>
        <v>34.294117647058826</v>
      </c>
      <c r="S9" s="81">
        <v>32.842</v>
      </c>
      <c r="T9" s="81">
        <v>32.164</v>
      </c>
      <c r="U9" s="86">
        <f t="shared" si="3"/>
        <v>65.006</v>
      </c>
    </row>
    <row r="10" spans="1:21" ht="14.25">
      <c r="A10" s="66" t="s">
        <v>73</v>
      </c>
      <c r="B10" s="60" t="s">
        <v>150</v>
      </c>
      <c r="C10" s="63">
        <v>190</v>
      </c>
      <c r="D10" s="63">
        <v>243</v>
      </c>
      <c r="E10" s="15">
        <v>0</v>
      </c>
      <c r="F10" s="15">
        <v>10</v>
      </c>
      <c r="G10" s="15">
        <v>0</v>
      </c>
      <c r="H10" s="16">
        <v>30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85">
        <f t="shared" si="0"/>
        <v>473</v>
      </c>
      <c r="O10" s="86">
        <v>8</v>
      </c>
      <c r="P10" s="86">
        <v>9</v>
      </c>
      <c r="Q10" s="86">
        <f t="shared" si="1"/>
        <v>17</v>
      </c>
      <c r="R10" s="86">
        <f t="shared" si="2"/>
        <v>27.823529411764707</v>
      </c>
      <c r="S10" s="81">
        <v>10.212</v>
      </c>
      <c r="T10" s="81">
        <v>14.869</v>
      </c>
      <c r="U10" s="86">
        <f t="shared" si="3"/>
        <v>25.081</v>
      </c>
    </row>
    <row r="11" spans="1:21" ht="14.25">
      <c r="A11" s="66" t="s">
        <v>78</v>
      </c>
      <c r="B11" s="60" t="s">
        <v>153</v>
      </c>
      <c r="C11" s="61">
        <v>104</v>
      </c>
      <c r="D11" s="61">
        <v>263</v>
      </c>
      <c r="E11" s="18">
        <v>10</v>
      </c>
      <c r="F11" s="15">
        <v>0</v>
      </c>
      <c r="G11" s="18">
        <v>0</v>
      </c>
      <c r="H11" s="19">
        <v>0</v>
      </c>
      <c r="I11" s="19">
        <v>0</v>
      </c>
      <c r="J11" s="19">
        <v>0</v>
      </c>
      <c r="K11" s="19">
        <v>9.6</v>
      </c>
      <c r="L11" s="19">
        <v>1.68</v>
      </c>
      <c r="M11" s="19">
        <v>0</v>
      </c>
      <c r="N11" s="79">
        <f t="shared" si="0"/>
        <v>388.28000000000003</v>
      </c>
      <c r="O11" s="56">
        <v>8</v>
      </c>
      <c r="P11" s="56">
        <v>9</v>
      </c>
      <c r="Q11" s="56">
        <f t="shared" si="1"/>
        <v>17</v>
      </c>
      <c r="R11" s="56">
        <f t="shared" si="2"/>
        <v>22.840000000000003</v>
      </c>
      <c r="S11" s="80">
        <v>5.226</v>
      </c>
      <c r="T11" s="80">
        <v>18.403</v>
      </c>
      <c r="U11" s="59">
        <f t="shared" si="3"/>
        <v>23.628999999999998</v>
      </c>
    </row>
    <row r="12" spans="1:21" ht="14.25">
      <c r="A12" s="66" t="s">
        <v>67</v>
      </c>
      <c r="B12" s="60" t="s">
        <v>147</v>
      </c>
      <c r="C12" s="63">
        <v>187</v>
      </c>
      <c r="D12" s="63">
        <v>185</v>
      </c>
      <c r="E12" s="15">
        <v>0</v>
      </c>
      <c r="F12" s="15">
        <v>0</v>
      </c>
      <c r="G12" s="15">
        <v>0</v>
      </c>
      <c r="H12" s="16">
        <v>0</v>
      </c>
      <c r="I12" s="16">
        <v>0</v>
      </c>
      <c r="J12" s="16">
        <v>0</v>
      </c>
      <c r="K12" s="16">
        <v>2.08</v>
      </c>
      <c r="L12" s="16">
        <v>8.28</v>
      </c>
      <c r="M12" s="16">
        <v>0</v>
      </c>
      <c r="N12" s="85">
        <f t="shared" si="0"/>
        <v>382.35999999999996</v>
      </c>
      <c r="O12" s="86">
        <v>5.5</v>
      </c>
      <c r="P12" s="86">
        <v>6</v>
      </c>
      <c r="Q12" s="86">
        <f t="shared" si="1"/>
        <v>11.5</v>
      </c>
      <c r="R12" s="86">
        <f t="shared" si="2"/>
        <v>33.24869565217391</v>
      </c>
      <c r="S12" s="81">
        <v>22.516</v>
      </c>
      <c r="T12" s="81">
        <v>12.471</v>
      </c>
      <c r="U12" s="86">
        <f t="shared" si="3"/>
        <v>34.986999999999995</v>
      </c>
    </row>
    <row r="13" spans="1:21" ht="14.25">
      <c r="A13" s="66" t="s">
        <v>106</v>
      </c>
      <c r="B13" s="60" t="s">
        <v>152</v>
      </c>
      <c r="C13" s="61">
        <v>194</v>
      </c>
      <c r="D13" s="61">
        <v>187</v>
      </c>
      <c r="E13" s="18">
        <v>0</v>
      </c>
      <c r="F13" s="15">
        <v>0</v>
      </c>
      <c r="G13" s="18">
        <v>0</v>
      </c>
      <c r="H13" s="19">
        <v>0</v>
      </c>
      <c r="I13" s="19">
        <v>0.64</v>
      </c>
      <c r="J13" s="19">
        <v>0</v>
      </c>
      <c r="K13" s="19">
        <v>0.56</v>
      </c>
      <c r="L13" s="19">
        <v>0</v>
      </c>
      <c r="M13" s="19">
        <v>0</v>
      </c>
      <c r="N13" s="79">
        <f t="shared" si="0"/>
        <v>382.2</v>
      </c>
      <c r="O13" s="56">
        <v>6</v>
      </c>
      <c r="P13" s="56">
        <v>11.5</v>
      </c>
      <c r="Q13" s="56">
        <f t="shared" si="1"/>
        <v>17.5</v>
      </c>
      <c r="R13" s="56">
        <f t="shared" si="2"/>
        <v>21.84</v>
      </c>
      <c r="S13" s="80">
        <v>10.011</v>
      </c>
      <c r="T13" s="80">
        <v>14.61</v>
      </c>
      <c r="U13" s="59">
        <f t="shared" si="3"/>
        <v>24.621</v>
      </c>
    </row>
    <row r="14" spans="1:21" ht="14.25">
      <c r="A14" s="66" t="s">
        <v>75</v>
      </c>
      <c r="B14" s="23" t="s">
        <v>151</v>
      </c>
      <c r="C14" s="63">
        <v>90</v>
      </c>
      <c r="D14" s="63">
        <v>195</v>
      </c>
      <c r="E14" s="15">
        <v>10</v>
      </c>
      <c r="F14" s="15">
        <v>35</v>
      </c>
      <c r="G14" s="15">
        <v>30</v>
      </c>
      <c r="H14" s="16">
        <v>0</v>
      </c>
      <c r="I14" s="16">
        <v>0</v>
      </c>
      <c r="J14" s="16">
        <v>0</v>
      </c>
      <c r="K14" s="16">
        <v>13.66</v>
      </c>
      <c r="L14" s="16">
        <v>20.4</v>
      </c>
      <c r="M14" s="16">
        <v>-60</v>
      </c>
      <c r="N14" s="85">
        <f t="shared" si="0"/>
        <v>334.06</v>
      </c>
      <c r="O14" s="86">
        <v>8</v>
      </c>
      <c r="P14" s="86">
        <v>9.5</v>
      </c>
      <c r="Q14" s="86">
        <f t="shared" si="1"/>
        <v>17.5</v>
      </c>
      <c r="R14" s="86">
        <f t="shared" si="2"/>
        <v>19.089142857142857</v>
      </c>
      <c r="S14" s="81">
        <v>9.24</v>
      </c>
      <c r="T14" s="81">
        <v>15.57</v>
      </c>
      <c r="U14" s="86">
        <f t="shared" si="3"/>
        <v>24.810000000000002</v>
      </c>
    </row>
    <row r="15" spans="1:21" ht="14.25">
      <c r="A15" s="66" t="s">
        <v>112</v>
      </c>
      <c r="B15" s="60" t="s">
        <v>158</v>
      </c>
      <c r="C15" s="63">
        <v>162</v>
      </c>
      <c r="D15" s="63">
        <v>97</v>
      </c>
      <c r="E15" s="15">
        <v>60</v>
      </c>
      <c r="F15" s="15">
        <v>0</v>
      </c>
      <c r="G15" s="18">
        <v>0</v>
      </c>
      <c r="H15" s="16">
        <v>0</v>
      </c>
      <c r="I15" s="19">
        <v>0</v>
      </c>
      <c r="J15" s="19">
        <v>0</v>
      </c>
      <c r="K15" s="16">
        <v>0</v>
      </c>
      <c r="L15" s="16">
        <v>0</v>
      </c>
      <c r="M15" s="16">
        <v>-30</v>
      </c>
      <c r="N15" s="79">
        <f t="shared" si="0"/>
        <v>289</v>
      </c>
      <c r="O15" s="56">
        <v>12</v>
      </c>
      <c r="P15" s="56">
        <v>13</v>
      </c>
      <c r="Q15" s="56">
        <f t="shared" si="1"/>
        <v>25</v>
      </c>
      <c r="R15" s="56">
        <f t="shared" si="2"/>
        <v>11.56</v>
      </c>
      <c r="S15" s="80">
        <v>9.304</v>
      </c>
      <c r="T15" s="80">
        <v>4.526</v>
      </c>
      <c r="U15" s="59">
        <f t="shared" si="3"/>
        <v>13.83</v>
      </c>
    </row>
    <row r="16" spans="1:21" ht="14.25">
      <c r="A16" s="66" t="s">
        <v>79</v>
      </c>
      <c r="B16" s="60" t="s">
        <v>154</v>
      </c>
      <c r="C16" s="64">
        <v>161</v>
      </c>
      <c r="D16" s="64">
        <v>131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9">
        <v>0</v>
      </c>
      <c r="M16" s="18">
        <v>-30</v>
      </c>
      <c r="N16" s="79">
        <f t="shared" si="0"/>
        <v>262</v>
      </c>
      <c r="O16" s="56">
        <v>3</v>
      </c>
      <c r="P16" s="56">
        <v>4</v>
      </c>
      <c r="Q16" s="56">
        <f t="shared" si="1"/>
        <v>7</v>
      </c>
      <c r="R16" s="56">
        <f t="shared" si="2"/>
        <v>37.42857142857143</v>
      </c>
      <c r="S16" s="82">
        <v>13.219</v>
      </c>
      <c r="T16" s="82">
        <v>10.042</v>
      </c>
      <c r="U16" s="59">
        <f t="shared" si="3"/>
        <v>23.261</v>
      </c>
    </row>
    <row r="17" spans="1:21" ht="14.25">
      <c r="A17" s="66" t="s">
        <v>156</v>
      </c>
      <c r="B17" s="60" t="s">
        <v>157</v>
      </c>
      <c r="C17" s="61">
        <v>160</v>
      </c>
      <c r="D17" s="61">
        <v>85</v>
      </c>
      <c r="E17" s="18">
        <v>0</v>
      </c>
      <c r="F17" s="18">
        <v>0</v>
      </c>
      <c r="G17" s="18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62">
        <v>0</v>
      </c>
      <c r="N17" s="79">
        <f t="shared" si="0"/>
        <v>245</v>
      </c>
      <c r="O17" s="56">
        <v>10</v>
      </c>
      <c r="P17" s="56">
        <v>10</v>
      </c>
      <c r="Q17" s="56">
        <f t="shared" si="1"/>
        <v>20</v>
      </c>
      <c r="R17" s="56">
        <f t="shared" si="2"/>
        <v>12.25</v>
      </c>
      <c r="S17" s="55">
        <f>5.698+6.372</f>
        <v>12.07</v>
      </c>
      <c r="T17" s="80">
        <v>3.503</v>
      </c>
      <c r="U17" s="59">
        <f t="shared" si="3"/>
        <v>15.573</v>
      </c>
    </row>
    <row r="18" spans="1:21" ht="14.25">
      <c r="A18" s="66" t="s">
        <v>69</v>
      </c>
      <c r="B18" s="60" t="s">
        <v>148</v>
      </c>
      <c r="C18" s="63">
        <v>167</v>
      </c>
      <c r="D18" s="63">
        <v>140</v>
      </c>
      <c r="E18" s="15">
        <v>10</v>
      </c>
      <c r="F18" s="15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-90</v>
      </c>
      <c r="N18" s="85">
        <f t="shared" si="0"/>
        <v>227</v>
      </c>
      <c r="O18" s="86">
        <v>11</v>
      </c>
      <c r="P18" s="86">
        <v>9</v>
      </c>
      <c r="Q18" s="86">
        <f t="shared" si="1"/>
        <v>20</v>
      </c>
      <c r="R18" s="86">
        <f t="shared" si="2"/>
        <v>11.35</v>
      </c>
      <c r="S18" s="81">
        <v>18.195</v>
      </c>
      <c r="T18" s="81">
        <v>13.098</v>
      </c>
      <c r="U18" s="86">
        <f t="shared" si="3"/>
        <v>31.293</v>
      </c>
    </row>
    <row r="19" spans="1:21" ht="14.25">
      <c r="A19" s="66" t="s">
        <v>129</v>
      </c>
      <c r="B19" s="60" t="s">
        <v>165</v>
      </c>
      <c r="C19" s="61">
        <v>114</v>
      </c>
      <c r="D19" s="61">
        <v>101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9">
        <v>0</v>
      </c>
      <c r="M19" s="18">
        <v>0</v>
      </c>
      <c r="N19" s="79">
        <f t="shared" si="0"/>
        <v>215</v>
      </c>
      <c r="O19" s="56">
        <v>3.25</v>
      </c>
      <c r="P19" s="56">
        <v>3.25</v>
      </c>
      <c r="Q19" s="56">
        <f t="shared" si="1"/>
        <v>6.5</v>
      </c>
      <c r="R19" s="56">
        <f t="shared" si="2"/>
        <v>33.07692307692308</v>
      </c>
      <c r="S19" s="82">
        <v>0</v>
      </c>
      <c r="T19" s="82">
        <v>0</v>
      </c>
      <c r="U19" s="59">
        <f t="shared" si="3"/>
        <v>0</v>
      </c>
    </row>
    <row r="20" spans="1:21" ht="14.25">
      <c r="A20" s="66" t="s">
        <v>126</v>
      </c>
      <c r="B20" s="60" t="s">
        <v>164</v>
      </c>
      <c r="C20" s="61">
        <v>127</v>
      </c>
      <c r="D20" s="61">
        <v>125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9">
        <v>0</v>
      </c>
      <c r="M20" s="18">
        <v>-60</v>
      </c>
      <c r="N20" s="79">
        <f t="shared" si="0"/>
        <v>192</v>
      </c>
      <c r="O20" s="56">
        <v>2.5</v>
      </c>
      <c r="P20" s="56">
        <v>2.5</v>
      </c>
      <c r="Q20" s="56">
        <f t="shared" si="1"/>
        <v>5</v>
      </c>
      <c r="R20" s="56">
        <f t="shared" si="2"/>
        <v>38.4</v>
      </c>
      <c r="S20" s="80">
        <v>0</v>
      </c>
      <c r="T20" s="80">
        <v>0</v>
      </c>
      <c r="U20" s="59">
        <f t="shared" si="3"/>
        <v>0</v>
      </c>
    </row>
    <row r="21" spans="1:21" ht="14.25">
      <c r="A21" s="66" t="s">
        <v>114</v>
      </c>
      <c r="B21" s="60" t="s">
        <v>159</v>
      </c>
      <c r="C21" s="61">
        <v>94</v>
      </c>
      <c r="D21" s="61">
        <v>47</v>
      </c>
      <c r="E21" s="18">
        <v>10</v>
      </c>
      <c r="F21" s="18">
        <v>0</v>
      </c>
      <c r="G21" s="18">
        <f>30+30</f>
        <v>60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62">
        <v>-30</v>
      </c>
      <c r="N21" s="79">
        <f t="shared" si="0"/>
        <v>181</v>
      </c>
      <c r="O21" s="56">
        <v>13</v>
      </c>
      <c r="P21" s="56">
        <v>12</v>
      </c>
      <c r="Q21" s="56">
        <f t="shared" si="1"/>
        <v>25</v>
      </c>
      <c r="R21" s="56">
        <f t="shared" si="2"/>
        <v>7.24</v>
      </c>
      <c r="S21" s="80">
        <v>7.212</v>
      </c>
      <c r="T21" s="80">
        <v>3.141</v>
      </c>
      <c r="U21" s="59">
        <f t="shared" si="3"/>
        <v>10.353</v>
      </c>
    </row>
    <row r="22" spans="1:21" ht="14.25">
      <c r="A22" s="66" t="s">
        <v>120</v>
      </c>
      <c r="B22" s="60" t="s">
        <v>161</v>
      </c>
      <c r="C22" s="61">
        <v>70</v>
      </c>
      <c r="D22" s="61">
        <v>111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9">
        <v>0</v>
      </c>
      <c r="M22" s="18">
        <v>0</v>
      </c>
      <c r="N22" s="79">
        <f t="shared" si="0"/>
        <v>181</v>
      </c>
      <c r="O22" s="56">
        <v>3</v>
      </c>
      <c r="P22" s="56">
        <v>3</v>
      </c>
      <c r="Q22" s="56">
        <f t="shared" si="1"/>
        <v>6</v>
      </c>
      <c r="R22" s="56">
        <f t="shared" si="2"/>
        <v>30.166666666666668</v>
      </c>
      <c r="S22" s="80">
        <v>2.528</v>
      </c>
      <c r="T22" s="80">
        <v>0.69</v>
      </c>
      <c r="U22" s="59">
        <f t="shared" si="3"/>
        <v>3.218</v>
      </c>
    </row>
    <row r="23" spans="1:21" ht="14.25">
      <c r="A23" s="66" t="s">
        <v>116</v>
      </c>
      <c r="B23" s="60" t="s">
        <v>160</v>
      </c>
      <c r="C23" s="63">
        <v>75</v>
      </c>
      <c r="D23" s="63">
        <v>60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9">
        <v>0</v>
      </c>
      <c r="M23" s="15">
        <v>0</v>
      </c>
      <c r="N23" s="79">
        <f t="shared" si="0"/>
        <v>135</v>
      </c>
      <c r="O23" s="56">
        <v>0</v>
      </c>
      <c r="P23" s="56">
        <v>0</v>
      </c>
      <c r="Q23" s="56">
        <f t="shared" si="1"/>
        <v>0</v>
      </c>
      <c r="R23" s="56">
        <v>0</v>
      </c>
      <c r="S23" s="80">
        <v>6.633</v>
      </c>
      <c r="T23" s="80">
        <v>2.174</v>
      </c>
      <c r="U23" s="59">
        <f t="shared" si="3"/>
        <v>8.807</v>
      </c>
    </row>
    <row r="24" spans="1:21" ht="28.5">
      <c r="A24" s="66" t="s">
        <v>81</v>
      </c>
      <c r="B24" s="60" t="s">
        <v>155</v>
      </c>
      <c r="C24" s="64">
        <v>50</v>
      </c>
      <c r="D24" s="64">
        <v>60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9.06</v>
      </c>
      <c r="M24" s="18">
        <v>0</v>
      </c>
      <c r="N24" s="40">
        <f t="shared" si="0"/>
        <v>119.06</v>
      </c>
      <c r="O24" s="40">
        <v>2</v>
      </c>
      <c r="P24" s="40">
        <v>3</v>
      </c>
      <c r="Q24" s="40">
        <f t="shared" si="1"/>
        <v>5</v>
      </c>
      <c r="R24" s="40">
        <f>N24/Q24</f>
        <v>23.812</v>
      </c>
      <c r="S24" s="82">
        <v>13.324</v>
      </c>
      <c r="T24" s="82">
        <v>3.381</v>
      </c>
      <c r="U24" s="83">
        <f t="shared" si="3"/>
        <v>16.705</v>
      </c>
    </row>
    <row r="25" spans="1:21" ht="14.25">
      <c r="A25" s="66" t="s">
        <v>122</v>
      </c>
      <c r="B25" s="60" t="s">
        <v>162</v>
      </c>
      <c r="C25" s="61">
        <v>23</v>
      </c>
      <c r="D25" s="61">
        <v>22</v>
      </c>
      <c r="E25" s="18">
        <v>0</v>
      </c>
      <c r="F25" s="18">
        <v>0</v>
      </c>
      <c r="G25" s="18">
        <v>30</v>
      </c>
      <c r="H25" s="19">
        <v>30</v>
      </c>
      <c r="I25" s="19">
        <v>0</v>
      </c>
      <c r="J25" s="19">
        <v>0</v>
      </c>
      <c r="K25" s="19">
        <v>0</v>
      </c>
      <c r="L25" s="19">
        <v>0</v>
      </c>
      <c r="M25" s="62">
        <v>0</v>
      </c>
      <c r="N25" s="79">
        <f t="shared" si="0"/>
        <v>105</v>
      </c>
      <c r="O25" s="56">
        <v>8</v>
      </c>
      <c r="P25" s="56">
        <v>9</v>
      </c>
      <c r="Q25" s="56">
        <f t="shared" si="1"/>
        <v>17</v>
      </c>
      <c r="R25" s="56">
        <f>N25/Q25</f>
        <v>6.176470588235294</v>
      </c>
      <c r="S25" s="80">
        <v>0.745</v>
      </c>
      <c r="T25" s="80">
        <v>0.745</v>
      </c>
      <c r="U25" s="59">
        <f t="shared" si="3"/>
        <v>1.49</v>
      </c>
    </row>
    <row r="26" spans="1:21" ht="14.25">
      <c r="A26" s="66" t="s">
        <v>124</v>
      </c>
      <c r="B26" s="60" t="s">
        <v>163</v>
      </c>
      <c r="C26" s="61">
        <v>16</v>
      </c>
      <c r="D26" s="61">
        <v>86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  <c r="M26" s="18">
        <v>0</v>
      </c>
      <c r="N26" s="79">
        <f t="shared" si="0"/>
        <v>102</v>
      </c>
      <c r="O26" s="56">
        <v>0</v>
      </c>
      <c r="P26" s="56">
        <v>1</v>
      </c>
      <c r="Q26" s="56">
        <f t="shared" si="1"/>
        <v>1</v>
      </c>
      <c r="R26" s="56">
        <f>N26/Q26</f>
        <v>102</v>
      </c>
      <c r="S26" s="80">
        <v>0</v>
      </c>
      <c r="T26" s="80">
        <v>0.69</v>
      </c>
      <c r="U26" s="59">
        <f t="shared" si="3"/>
        <v>0.69</v>
      </c>
    </row>
    <row r="27" spans="1:21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8">
        <f>SUM(N3:N26)</f>
        <v>8891.56</v>
      </c>
      <c r="O27" s="78">
        <f>SUM(O3:O26)</f>
        <v>167.25</v>
      </c>
      <c r="P27" s="78">
        <f>SUM(P3:P26)</f>
        <v>184.75</v>
      </c>
      <c r="Q27" s="78">
        <f>SUM(Q3:Q26)</f>
        <v>352</v>
      </c>
      <c r="R27" s="59"/>
      <c r="S27" s="59"/>
      <c r="T27" s="59"/>
      <c r="U27" s="59"/>
    </row>
    <row r="28" ht="14.25">
      <c r="B28" s="65" t="s">
        <v>166</v>
      </c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W2" sqref="W2"/>
    </sheetView>
  </sheetViews>
  <sheetFormatPr defaultColWidth="9.00390625" defaultRowHeight="12.75"/>
  <cols>
    <col min="1" max="1" width="5.375" style="0" customWidth="1"/>
    <col min="2" max="2" width="54.75390625" style="0" customWidth="1"/>
    <col min="3" max="13" width="0" style="0" hidden="1" customWidth="1"/>
    <col min="14" max="14" width="13.00390625" style="0" customWidth="1"/>
    <col min="15" max="16" width="0" style="0" hidden="1" customWidth="1"/>
    <col min="17" max="17" width="13.00390625" style="0" customWidth="1"/>
    <col min="18" max="19" width="0" style="0" hidden="1" customWidth="1"/>
    <col min="20" max="20" width="16.625" style="0" customWidth="1"/>
    <col min="21" max="21" width="14.625" style="0" customWidth="1"/>
  </cols>
  <sheetData>
    <row r="1" spans="1:21" ht="41.25" customHeight="1">
      <c r="A1" s="98" t="s">
        <v>190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28.25">
      <c r="A2" s="67" t="s">
        <v>0</v>
      </c>
      <c r="B2" s="8" t="s">
        <v>55</v>
      </c>
      <c r="C2" s="74" t="s">
        <v>2</v>
      </c>
      <c r="D2" s="74" t="s">
        <v>1</v>
      </c>
      <c r="E2" s="74" t="s">
        <v>3</v>
      </c>
      <c r="F2" s="74" t="s">
        <v>4</v>
      </c>
      <c r="G2" s="53" t="s">
        <v>5</v>
      </c>
      <c r="H2" s="75" t="s">
        <v>6</v>
      </c>
      <c r="I2" s="75" t="s">
        <v>7</v>
      </c>
      <c r="J2" s="75" t="s">
        <v>8</v>
      </c>
      <c r="K2" s="75" t="s">
        <v>9</v>
      </c>
      <c r="L2" s="75" t="s">
        <v>10</v>
      </c>
      <c r="M2" s="75" t="s">
        <v>11</v>
      </c>
      <c r="N2" s="76" t="s">
        <v>140</v>
      </c>
      <c r="O2" s="77" t="s">
        <v>14</v>
      </c>
      <c r="P2" s="77" t="s">
        <v>15</v>
      </c>
      <c r="Q2" s="74" t="s">
        <v>183</v>
      </c>
      <c r="R2" s="75" t="s">
        <v>12</v>
      </c>
      <c r="S2" s="76" t="s">
        <v>13</v>
      </c>
      <c r="T2" s="76" t="s">
        <v>178</v>
      </c>
      <c r="U2" s="74" t="s">
        <v>179</v>
      </c>
    </row>
    <row r="3" spans="1:21" ht="14.25">
      <c r="A3" s="66">
        <v>1</v>
      </c>
      <c r="B3" s="17" t="s">
        <v>167</v>
      </c>
      <c r="C3" s="18">
        <v>2106</v>
      </c>
      <c r="D3" s="18">
        <v>1938</v>
      </c>
      <c r="E3" s="18">
        <v>20</v>
      </c>
      <c r="F3" s="18">
        <v>10</v>
      </c>
      <c r="G3" s="18">
        <v>0</v>
      </c>
      <c r="H3" s="19">
        <v>0</v>
      </c>
      <c r="I3" s="19">
        <v>0</v>
      </c>
      <c r="J3" s="19">
        <v>0</v>
      </c>
      <c r="K3" s="19">
        <f>0.56+1.77+27.12+5.46+5.55</f>
        <v>40.46</v>
      </c>
      <c r="L3" s="19">
        <f>29.76+0.75+1.44+5.46+5.55</f>
        <v>42.96</v>
      </c>
      <c r="M3" s="19">
        <v>0</v>
      </c>
      <c r="N3" s="39">
        <f aca="true" t="shared" si="0" ref="N3:N12">C3+D3+E3+F3+G3+H3+I3+J3+K3+L3+M3</f>
        <v>4157.42</v>
      </c>
      <c r="O3" s="40">
        <v>7.125</v>
      </c>
      <c r="P3" s="40">
        <v>10.2</v>
      </c>
      <c r="Q3" s="40">
        <f aca="true" t="shared" si="1" ref="Q3:Q12">O3+P3</f>
        <v>17.325</v>
      </c>
      <c r="R3" s="40">
        <v>480.776</v>
      </c>
      <c r="S3" s="40">
        <v>468.368</v>
      </c>
      <c r="T3" s="40">
        <f aca="true" t="shared" si="2" ref="T3:T12">N3/Q3</f>
        <v>239.96652236652238</v>
      </c>
      <c r="U3" s="40">
        <f aca="true" t="shared" si="3" ref="U3:U12">R3+S3</f>
        <v>949.144</v>
      </c>
    </row>
    <row r="4" spans="1:21" ht="14.25">
      <c r="A4" s="66">
        <f>A3+1</f>
        <v>2</v>
      </c>
      <c r="B4" s="14" t="s">
        <v>168</v>
      </c>
      <c r="C4" s="18">
        <v>1605</v>
      </c>
      <c r="D4" s="18">
        <v>1220</v>
      </c>
      <c r="E4" s="18">
        <f>20+35+50</f>
        <v>105</v>
      </c>
      <c r="F4" s="18">
        <f>30+10+20+50</f>
        <v>110</v>
      </c>
      <c r="G4" s="18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6">
        <v>-60</v>
      </c>
      <c r="N4" s="39">
        <f t="shared" si="0"/>
        <v>2980</v>
      </c>
      <c r="O4" s="40">
        <v>35</v>
      </c>
      <c r="P4" s="40">
        <v>45</v>
      </c>
      <c r="Q4" s="40">
        <f t="shared" si="1"/>
        <v>80</v>
      </c>
      <c r="R4" s="40">
        <v>95.859</v>
      </c>
      <c r="S4" s="40">
        <v>56.648</v>
      </c>
      <c r="T4" s="40">
        <f t="shared" si="2"/>
        <v>37.25</v>
      </c>
      <c r="U4" s="40">
        <f t="shared" si="3"/>
        <v>152.507</v>
      </c>
    </row>
    <row r="5" spans="1:21" ht="14.25">
      <c r="A5" s="66">
        <f aca="true" t="shared" si="4" ref="A5:A12">A4+1</f>
        <v>3</v>
      </c>
      <c r="B5" s="17" t="s">
        <v>169</v>
      </c>
      <c r="C5" s="18">
        <v>879</v>
      </c>
      <c r="D5" s="18">
        <v>582</v>
      </c>
      <c r="E5" s="18">
        <v>20</v>
      </c>
      <c r="F5" s="18">
        <v>0</v>
      </c>
      <c r="G5" s="18">
        <v>0</v>
      </c>
      <c r="H5" s="19">
        <v>0</v>
      </c>
      <c r="I5" s="19">
        <v>0</v>
      </c>
      <c r="J5" s="19">
        <v>0</v>
      </c>
      <c r="K5" s="19">
        <v>9.98</v>
      </c>
      <c r="L5" s="19">
        <v>3.98</v>
      </c>
      <c r="M5" s="19">
        <v>0</v>
      </c>
      <c r="N5" s="39">
        <f t="shared" si="0"/>
        <v>1494.96</v>
      </c>
      <c r="O5" s="40">
        <v>10</v>
      </c>
      <c r="P5" s="40">
        <v>9</v>
      </c>
      <c r="Q5" s="40">
        <f t="shared" si="1"/>
        <v>19</v>
      </c>
      <c r="R5" s="40">
        <v>55.919</v>
      </c>
      <c r="S5" s="40">
        <v>35.021</v>
      </c>
      <c r="T5" s="40">
        <f t="shared" si="2"/>
        <v>78.6821052631579</v>
      </c>
      <c r="U5" s="40">
        <f t="shared" si="3"/>
        <v>90.94</v>
      </c>
    </row>
    <row r="6" spans="1:21" ht="14.25">
      <c r="A6" s="66">
        <f t="shared" si="4"/>
        <v>4</v>
      </c>
      <c r="B6" s="14" t="s">
        <v>170</v>
      </c>
      <c r="C6" s="15">
        <v>578</v>
      </c>
      <c r="D6" s="15">
        <v>367</v>
      </c>
      <c r="E6" s="15">
        <f>10+10</f>
        <v>20</v>
      </c>
      <c r="F6" s="15">
        <f>10+10</f>
        <v>20</v>
      </c>
      <c r="G6" s="15">
        <v>0</v>
      </c>
      <c r="H6" s="16">
        <v>0</v>
      </c>
      <c r="I6" s="16">
        <v>0</v>
      </c>
      <c r="J6" s="16">
        <v>0</v>
      </c>
      <c r="K6" s="16">
        <v>0</v>
      </c>
      <c r="L6" s="16">
        <v>18.24</v>
      </c>
      <c r="M6" s="16">
        <v>-30</v>
      </c>
      <c r="N6" s="39">
        <f t="shared" si="0"/>
        <v>973.24</v>
      </c>
      <c r="O6" s="40">
        <v>14</v>
      </c>
      <c r="P6" s="40">
        <v>19.5</v>
      </c>
      <c r="Q6" s="40">
        <f t="shared" si="1"/>
        <v>33.5</v>
      </c>
      <c r="R6" s="40">
        <v>10.8</v>
      </c>
      <c r="S6" s="40">
        <v>10.047</v>
      </c>
      <c r="T6" s="40">
        <f t="shared" si="2"/>
        <v>29.051940298507464</v>
      </c>
      <c r="U6" s="40">
        <f t="shared" si="3"/>
        <v>20.847</v>
      </c>
    </row>
    <row r="7" spans="1:21" ht="14.25">
      <c r="A7" s="66">
        <f t="shared" si="4"/>
        <v>5</v>
      </c>
      <c r="B7" s="14" t="s">
        <v>171</v>
      </c>
      <c r="C7" s="15">
        <v>549</v>
      </c>
      <c r="D7" s="15">
        <v>469</v>
      </c>
      <c r="E7" s="15">
        <v>10</v>
      </c>
      <c r="F7" s="15">
        <v>10</v>
      </c>
      <c r="G7" s="15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-90</v>
      </c>
      <c r="N7" s="39">
        <f t="shared" si="0"/>
        <v>948</v>
      </c>
      <c r="O7" s="40">
        <v>24.5</v>
      </c>
      <c r="P7" s="40">
        <v>23.5</v>
      </c>
      <c r="Q7" s="40">
        <f t="shared" si="1"/>
        <v>48</v>
      </c>
      <c r="R7" s="40">
        <v>29.802</v>
      </c>
      <c r="S7" s="40">
        <v>7.723</v>
      </c>
      <c r="T7" s="40">
        <f t="shared" si="2"/>
        <v>19.75</v>
      </c>
      <c r="U7" s="40">
        <f t="shared" si="3"/>
        <v>37.525</v>
      </c>
    </row>
    <row r="8" spans="1:21" ht="14.25">
      <c r="A8" s="66">
        <f t="shared" si="4"/>
        <v>6</v>
      </c>
      <c r="B8" s="17" t="s">
        <v>172</v>
      </c>
      <c r="C8" s="18">
        <v>241</v>
      </c>
      <c r="D8" s="18">
        <v>356</v>
      </c>
      <c r="E8" s="18">
        <v>10</v>
      </c>
      <c r="F8" s="18">
        <v>10</v>
      </c>
      <c r="G8" s="18">
        <v>0</v>
      </c>
      <c r="H8" s="19">
        <v>0</v>
      </c>
      <c r="I8" s="19">
        <v>0</v>
      </c>
      <c r="J8" s="19">
        <v>0</v>
      </c>
      <c r="K8" s="19">
        <v>0</v>
      </c>
      <c r="L8" s="19">
        <v>0.82</v>
      </c>
      <c r="M8" s="19">
        <v>0</v>
      </c>
      <c r="N8" s="39">
        <f t="shared" si="0"/>
        <v>617.82</v>
      </c>
      <c r="O8" s="40">
        <v>6</v>
      </c>
      <c r="P8" s="40">
        <v>5</v>
      </c>
      <c r="Q8" s="40">
        <f t="shared" si="1"/>
        <v>11</v>
      </c>
      <c r="R8" s="40">
        <v>14.188</v>
      </c>
      <c r="S8" s="40">
        <v>19.411</v>
      </c>
      <c r="T8" s="40">
        <f t="shared" si="2"/>
        <v>56.16545454545455</v>
      </c>
      <c r="U8" s="40">
        <f t="shared" si="3"/>
        <v>33.599000000000004</v>
      </c>
    </row>
    <row r="9" spans="1:21" ht="14.25">
      <c r="A9" s="66">
        <f t="shared" si="4"/>
        <v>7</v>
      </c>
      <c r="B9" s="17" t="s">
        <v>173</v>
      </c>
      <c r="C9" s="18">
        <v>220</v>
      </c>
      <c r="D9" s="18">
        <v>259</v>
      </c>
      <c r="E9" s="18">
        <v>10</v>
      </c>
      <c r="F9" s="18">
        <v>0</v>
      </c>
      <c r="G9" s="18">
        <v>0</v>
      </c>
      <c r="H9" s="19">
        <v>0</v>
      </c>
      <c r="I9" s="19">
        <v>0</v>
      </c>
      <c r="J9" s="19">
        <v>0</v>
      </c>
      <c r="K9" s="19">
        <v>45.21</v>
      </c>
      <c r="L9" s="19">
        <v>26.4</v>
      </c>
      <c r="M9" s="19">
        <v>0</v>
      </c>
      <c r="N9" s="39">
        <f t="shared" si="0"/>
        <v>560.61</v>
      </c>
      <c r="O9" s="40">
        <v>4</v>
      </c>
      <c r="P9" s="40">
        <v>3.125</v>
      </c>
      <c r="Q9" s="40">
        <f t="shared" si="1"/>
        <v>7.125</v>
      </c>
      <c r="R9" s="40">
        <v>60.961</v>
      </c>
      <c r="S9" s="40">
        <v>62.256</v>
      </c>
      <c r="T9" s="40">
        <f t="shared" si="2"/>
        <v>78.6821052631579</v>
      </c>
      <c r="U9" s="40">
        <f t="shared" si="3"/>
        <v>123.217</v>
      </c>
    </row>
    <row r="10" spans="1:21" ht="14.25">
      <c r="A10" s="66">
        <f t="shared" si="4"/>
        <v>8</v>
      </c>
      <c r="B10" s="17" t="s">
        <v>174</v>
      </c>
      <c r="C10" s="18">
        <v>37</v>
      </c>
      <c r="D10" s="18">
        <v>163</v>
      </c>
      <c r="E10" s="18">
        <v>20</v>
      </c>
      <c r="F10" s="18">
        <v>10</v>
      </c>
      <c r="G10" s="1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9">
        <f t="shared" si="0"/>
        <v>230</v>
      </c>
      <c r="O10" s="40">
        <v>9</v>
      </c>
      <c r="P10" s="40">
        <v>8</v>
      </c>
      <c r="Q10" s="40">
        <f t="shared" si="1"/>
        <v>17</v>
      </c>
      <c r="R10" s="40">
        <v>0</v>
      </c>
      <c r="S10" s="40">
        <v>3.04</v>
      </c>
      <c r="T10" s="40">
        <f t="shared" si="2"/>
        <v>13.529411764705882</v>
      </c>
      <c r="U10" s="40">
        <f t="shared" si="3"/>
        <v>3.04</v>
      </c>
    </row>
    <row r="11" spans="1:21" ht="14.25">
      <c r="A11" s="66">
        <f t="shared" si="4"/>
        <v>9</v>
      </c>
      <c r="B11" s="14" t="s">
        <v>175</v>
      </c>
      <c r="C11" s="15">
        <v>92</v>
      </c>
      <c r="D11" s="15">
        <v>79</v>
      </c>
      <c r="E11" s="15">
        <v>0</v>
      </c>
      <c r="F11" s="15">
        <v>0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39">
        <f t="shared" si="0"/>
        <v>171</v>
      </c>
      <c r="O11" s="40">
        <v>6</v>
      </c>
      <c r="P11" s="40">
        <v>4</v>
      </c>
      <c r="Q11" s="40">
        <f t="shared" si="1"/>
        <v>10</v>
      </c>
      <c r="R11" s="40">
        <v>3.05</v>
      </c>
      <c r="S11" s="40">
        <v>4.196</v>
      </c>
      <c r="T11" s="40">
        <f t="shared" si="2"/>
        <v>17.1</v>
      </c>
      <c r="U11" s="40">
        <f t="shared" si="3"/>
        <v>7.2459999999999996</v>
      </c>
    </row>
    <row r="12" spans="1:21" ht="14.25">
      <c r="A12" s="66">
        <f t="shared" si="4"/>
        <v>10</v>
      </c>
      <c r="B12" s="17" t="s">
        <v>176</v>
      </c>
      <c r="C12" s="18">
        <v>59</v>
      </c>
      <c r="D12" s="18">
        <v>5</v>
      </c>
      <c r="E12" s="18">
        <v>0</v>
      </c>
      <c r="F12" s="18">
        <v>0</v>
      </c>
      <c r="G12" s="18">
        <v>40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-30</v>
      </c>
      <c r="N12" s="39">
        <f t="shared" si="0"/>
        <v>74</v>
      </c>
      <c r="O12" s="40">
        <v>7</v>
      </c>
      <c r="P12" s="40">
        <v>6</v>
      </c>
      <c r="Q12" s="40">
        <f t="shared" si="1"/>
        <v>13</v>
      </c>
      <c r="R12" s="40">
        <v>3.116</v>
      </c>
      <c r="S12" s="40">
        <v>0</v>
      </c>
      <c r="T12" s="40">
        <f t="shared" si="2"/>
        <v>5.6923076923076925</v>
      </c>
      <c r="U12" s="40">
        <f t="shared" si="3"/>
        <v>3.116</v>
      </c>
    </row>
    <row r="13" spans="1:21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84">
        <f>SUM(N3:N12)</f>
        <v>12207.050000000001</v>
      </c>
      <c r="O13" s="84"/>
      <c r="P13" s="84"/>
      <c r="Q13" s="84">
        <f>SUM(Q3:Q12)</f>
        <v>255.95</v>
      </c>
      <c r="R13" s="59"/>
      <c r="S13" s="59"/>
      <c r="T13" s="59"/>
      <c r="U13" s="59"/>
    </row>
    <row r="15" spans="1:21" ht="13.5">
      <c r="A15" s="4"/>
      <c r="B15" s="5" t="s">
        <v>177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Nauki</cp:lastModifiedBy>
  <cp:lastPrinted>2018-02-16T10:36:10Z</cp:lastPrinted>
  <dcterms:created xsi:type="dcterms:W3CDTF">1997-02-26T13:46:56Z</dcterms:created>
  <dcterms:modified xsi:type="dcterms:W3CDTF">2019-04-24T06:40:07Z</dcterms:modified>
  <cp:category/>
  <cp:version/>
  <cp:contentType/>
  <cp:contentStatus/>
</cp:coreProperties>
</file>